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30"/>
  <workbookPr/>
  <mc:AlternateContent xmlns:mc="http://schemas.openxmlformats.org/markup-compatibility/2006">
    <mc:Choice Requires="x15">
      <x15ac:absPath xmlns:x15ac="http://schemas.microsoft.com/office/spreadsheetml/2010/11/ac" url="C:\Users\ZaraFrick\Desktop\"/>
    </mc:Choice>
  </mc:AlternateContent>
  <xr:revisionPtr revIDLastSave="0" documentId="8_{CC5E1E86-21F0-445E-A747-AD90E1C11E9E}" xr6:coauthVersionLast="47" xr6:coauthVersionMax="47" xr10:uidLastSave="{00000000-0000-0000-0000-000000000000}"/>
  <workbookProtection workbookAlgorithmName="SHA-512" workbookHashValue="uG4r4nOwy60FnT5l9HHddUkABZdq4vTJ6fAtzbqbtYSM/p0RiyQB26AhC2VR+UdjOhyaHxzMoe1aKCM6FvYj3g==" workbookSaltValue="vuW4FnGrqR3SWZJu2GdZ5w==" workbookSpinCount="100000" lockStructure="1"/>
  <bookViews>
    <workbookView xWindow="28680" yWindow="-120" windowWidth="29040" windowHeight="15840" firstSheet="3" activeTab="3" xr2:uid="{00000000-000D-0000-FFFF-FFFF00000000}"/>
  </bookViews>
  <sheets>
    <sheet name="Instruktion" sheetId="9" r:id="rId1"/>
    <sheet name="Exempel" sheetId="11" r:id="rId2"/>
    <sheet name="Översikt" sheetId="1" r:id="rId3"/>
    <sheet name="Bokföring1" sheetId="3" r:id="rId4"/>
    <sheet name="Bokföring2" sheetId="4" r:id="rId5"/>
    <sheet name="Bokföring3" sheetId="5" r:id="rId6"/>
    <sheet name="Bokföring4" sheetId="10" r:id="rId7"/>
    <sheet name="Bokslut" sheetId="8" r:id="rId8"/>
    <sheet name="Statistik" sheetId="7" r:id="rId9"/>
    <sheet name="Siffror (Rör ej)" sheetId="2" state="hidden" r:id="rId10"/>
    <sheet name="Alternativ (Rör ej)" sheetId="6" state="hidden" r:id="rId11"/>
  </sheets>
  <definedNames>
    <definedName name="BankIn">'Siffror (Rör ej)'!$B$21</definedName>
    <definedName name="BankIn1">'Siffror (Rör ej)'!$F$17</definedName>
    <definedName name="BankIn2">'Siffror (Rör ej)'!$F$34</definedName>
    <definedName name="BankIn3">'Siffror (Rör ej)'!$F$50</definedName>
    <definedName name="BankIn4">'Siffror (Rör ej)'!$F$66</definedName>
    <definedName name="Bankkonto1" localSheetId="1">Exempel!$C$8</definedName>
    <definedName name="Bankkonto1">Bokföring1!$C$8</definedName>
    <definedName name="Bankkonto2">Bokföring2!$C$8</definedName>
    <definedName name="Bankkonto3">Bokföring3!$C$8</definedName>
    <definedName name="BankTillKassa">'Siffror (Rör ej)'!$B$25</definedName>
    <definedName name="Bankut">'Siffror (Rör ej)'!$B$22</definedName>
    <definedName name="BankUt1">'Siffror (Rör ej)'!$E$17</definedName>
    <definedName name="BankUt2">'Siffror (Rör ej)'!$E$34</definedName>
    <definedName name="BankUt3">'Siffror (Rör ej)'!$E$50</definedName>
    <definedName name="Bankut4">'Siffror (Rör ej)'!$E$66</definedName>
    <definedName name="BidragFrånSkolan">'Siffror (Rör ej)'!$D$13</definedName>
    <definedName name="BidragFrånSkolan1">'Siffror (Rör ej)'!$I$13</definedName>
    <definedName name="BidragFrånSkolan2">'Siffror (Rör ej)'!$I$30</definedName>
    <definedName name="BidragFrånSkolan3">'Siffror (Rör ej)'!$I$46</definedName>
    <definedName name="BidragFrånSkolan4">'Siffror (Rör ej)'!$I$62</definedName>
    <definedName name="BidragFrånSkolanIntäkter1">'Siffror (Rör ej)'!$U$13</definedName>
    <definedName name="BidragFrånSkolanIntäkter2">'Siffror (Rör ej)'!$W$13</definedName>
    <definedName name="BidragFrånSkolanIntäkter3">'Siffror (Rör ej)'!$Y$13</definedName>
    <definedName name="BidragFrånSkolanIntäkter4">'Siffror (Rör ej)'!$AA$13</definedName>
    <definedName name="BidragFrånSkolanKostnader1">'Siffror (Rör ej)'!$V$13</definedName>
    <definedName name="BidragFrånSkolanKostnader2">'Siffror (Rör ej)'!$X$13</definedName>
    <definedName name="BidragFrånSkolanKostnader3">'Siffror (Rör ej)'!$Z$13</definedName>
    <definedName name="BidragFrånSkolanKostnader4">'Siffror (Rör ej)'!$AB$13</definedName>
    <definedName name="BidragFrånSverigesElevkårer">'Siffror (Rör ej)'!$D$12</definedName>
    <definedName name="BidragFrånSverigesElevkårer1">'Siffror (Rör ej)'!$I$12</definedName>
    <definedName name="BidragFrånSverigesElevkårer2">'Siffror (Rör ej)'!$I$29</definedName>
    <definedName name="BidragFrånSverigesElevkårer3">'Siffror (Rör ej)'!$I$45</definedName>
    <definedName name="BidragFrånSverigesElevkårer4">'Siffror (Rör ej)'!$I$61</definedName>
    <definedName name="BidragFrånSverigesElevkårerIntäkter1">'Siffror (Rör ej)'!$U$12</definedName>
    <definedName name="BidragFrånSverigesElevkårerIntäkter2">'Siffror (Rör ej)'!$W$12</definedName>
    <definedName name="BidragFrånSverigesElevkårerIntäkter3">'Siffror (Rör ej)'!$Y$12</definedName>
    <definedName name="BidragFrånSverigesElevkårerIntäkter4">'Siffror (Rör ej)'!$AA$12</definedName>
    <definedName name="BidragSkolanTotalaIntäkter">'Siffror (Rör ej)'!$AC$13</definedName>
    <definedName name="BidragSkolanTotalaKostnader">'Siffror (Rör ej)'!$AD$13</definedName>
    <definedName name="BidragSverigesElevkårerTotalaIntäkter">'Siffror (Rör ej)'!$AC$12</definedName>
    <definedName name="Bildning">'Siffror (Rör ej)'!$D$6</definedName>
    <definedName name="Bildning1">'Siffror (Rör ej)'!$I$6</definedName>
    <definedName name="Bildning2">'Siffror (Rör ej)'!$I$23</definedName>
    <definedName name="Bildning3">'Siffror (Rör ej)'!$I$39</definedName>
    <definedName name="Bildning4">'Siffror (Rör ej)'!$I$55</definedName>
    <definedName name="BildningIntäkter1">'Siffror (Rör ej)'!$U$6</definedName>
    <definedName name="BildningIntäkter2">'Siffror (Rör ej)'!$W$6</definedName>
    <definedName name="BildningIntäkter3">'Siffror (Rör ej)'!$Y$6</definedName>
    <definedName name="BildningIntäkter4">'Siffror (Rör ej)'!$AA$6</definedName>
    <definedName name="BildningKostnader1">'Siffror (Rör ej)'!$V$6</definedName>
    <definedName name="BildningKostnader2">'Siffror (Rör ej)'!$X$6</definedName>
    <definedName name="BildningKostnader3">'Siffror (Rör ej)'!$Z$6</definedName>
    <definedName name="BildningKostnader4">'Siffror (Rör ej)'!$AB$6</definedName>
    <definedName name="BildningTotalaIntäkter">'Siffror (Rör ej)'!$AC$6</definedName>
    <definedName name="BildningTotalaKostnader">'Siffror (Rör ej)'!$AD$6</definedName>
    <definedName name="EgetKapital1" localSheetId="1">Exempel!$C$10</definedName>
    <definedName name="EgetKapital1">Bokföring1!$C$10</definedName>
    <definedName name="EgetKapital2">Bokföring2!$C$10</definedName>
    <definedName name="EgetKapital3">Bokföring3!$C$9</definedName>
    <definedName name="Event">'Siffror (Rör ej)'!$D$4</definedName>
    <definedName name="Event1">'Siffror (Rör ej)'!$I$4</definedName>
    <definedName name="Event2">'Siffror (Rör ej)'!$I$21</definedName>
    <definedName name="Event3">'Siffror (Rör ej)'!$I$37</definedName>
    <definedName name="Event4">'Siffror (Rör ej)'!$I$53</definedName>
    <definedName name="EventIntäkter1">'Siffror (Rör ej)'!$U$4</definedName>
    <definedName name="EventIntäkter2">'Siffror (Rör ej)'!$W$4</definedName>
    <definedName name="EventIntäkter3">'Siffror (Rör ej)'!$Y$4</definedName>
    <definedName name="EventIntäkter4">'Siffror (Rör ej)'!$AA$4</definedName>
    <definedName name="EventKostnader1">'Siffror (Rör ej)'!$V$4</definedName>
    <definedName name="EventKostnader2">'Siffror (Rör ej)'!$X$4</definedName>
    <definedName name="EventKostnader3">'Siffror (Rör ej)'!$Z$4</definedName>
    <definedName name="EventKostnader4">'Siffror (Rör ej)'!$AB$4</definedName>
    <definedName name="EventTotalaIntäkter">'Siffror (Rör ej)'!$AC$4</definedName>
    <definedName name="EventTotalaKostnader">'Siffror (Rör ej)'!$AD$4</definedName>
    <definedName name="Föreningar">'Siffror (Rör ej)'!$D$8</definedName>
    <definedName name="Föreningar1">'Siffror (Rör ej)'!$I$8</definedName>
    <definedName name="Föreningar2">'Siffror (Rör ej)'!$I$25</definedName>
    <definedName name="Föreningar3">'Siffror (Rör ej)'!$I$41</definedName>
    <definedName name="Föreningar4">'Siffror (Rör ej)'!$I$57</definedName>
    <definedName name="FöreningarIntäkter1">'Siffror (Rör ej)'!$U$8</definedName>
    <definedName name="FöreningarIntäkter2">'Siffror (Rör ej)'!$W$8</definedName>
    <definedName name="FöreningarIntäkter3">'Siffror (Rör ej)'!$Y$8</definedName>
    <definedName name="FöreningarIntäkter4">'Siffror (Rör ej)'!$AA$8</definedName>
    <definedName name="FöreningarKostnader1">'Siffror (Rör ej)'!$V$8</definedName>
    <definedName name="FöreningarKostnader2">'Siffror (Rör ej)'!$X$8</definedName>
    <definedName name="FöreningarKostnader3">'Siffror (Rör ej)'!$Z$8</definedName>
    <definedName name="FöreningarKostnader4">'Siffror (Rör ej)'!$AB$8</definedName>
    <definedName name="FöreningarTotalaIntäkter">'Siffror (Rör ej)'!$AC$8</definedName>
    <definedName name="FöreningarTotalaKostnader">'Siffror (Rör ej)'!$AD$8</definedName>
    <definedName name="Handkassa1" localSheetId="1">Exempel!$C$9</definedName>
    <definedName name="Handkassa1">Bokföring1!$C$9</definedName>
    <definedName name="Handkassa2">Bokföring2!$C$9</definedName>
    <definedName name="Handkassa3">Bokföring3!$C$9</definedName>
    <definedName name="IngåendeBankkonto">Översikt!$E$18</definedName>
    <definedName name="IngåendeHandkassa">Översikt!$J$18</definedName>
    <definedName name="Insättning1">'Siffror (Rör ej)'!$I$9</definedName>
    <definedName name="Insättning2">'Siffror (Rör ej)'!$I$26</definedName>
    <definedName name="Insättning3">'Siffror (Rör ej)'!$I$42</definedName>
    <definedName name="Insättning4">'Siffror (Rör ej)'!$I$58</definedName>
    <definedName name="InsättningarochUttag">'Siffror (Rör ej)'!$D$9</definedName>
    <definedName name="InsättningBankIn1">'Siffror (Rör ej)'!$F$9</definedName>
    <definedName name="InsättningBankIn2">'Siffror (Rör ej)'!$F$26</definedName>
    <definedName name="InsättningBankIn3">'Siffror (Rör ej)'!$F$42</definedName>
    <definedName name="InsättningBankUt1">'Siffror (Rör ej)'!$E$9</definedName>
    <definedName name="InsättningBankUt2">'Siffror (Rör ej)'!$E$26</definedName>
    <definedName name="InsättningBankUt3">'Siffror (Rör ej)'!$E$42</definedName>
    <definedName name="InsättningKassain1">'Siffror (Rör ej)'!$H$9</definedName>
    <definedName name="InsättningKassaIn2">'Siffror (Rör ej)'!$H$26</definedName>
    <definedName name="InsättningKassaIn3">'Siffror (Rör ej)'!$H$42</definedName>
    <definedName name="InsättningKassaUt1">'Siffror (Rör ej)'!$G$9</definedName>
    <definedName name="InsättningKassaUt2">'Siffror (Rör ej)'!$G$26</definedName>
    <definedName name="InsättningKassaUt3">'Siffror (Rör ej)'!$G$42</definedName>
    <definedName name="Inventarie">Översikt!$Q$29</definedName>
    <definedName name="Kassain">'Siffror (Rör ej)'!$B$23</definedName>
    <definedName name="KassaIn1">'Siffror (Rör ej)'!$H$17</definedName>
    <definedName name="KassaIn2">'Siffror (Rör ej)'!$H$34</definedName>
    <definedName name="KassaIn3">'Siffror (Rör ej)'!$H$50</definedName>
    <definedName name="Kassain4">'Siffror (Rör ej)'!$H$66</definedName>
    <definedName name="KassaTillBank">'Siffror (Rör ej)'!$B$26</definedName>
    <definedName name="Kassaut">'Siffror (Rör ej)'!$B$24</definedName>
    <definedName name="KassaUt1">'Siffror (Rör ej)'!$G$17</definedName>
    <definedName name="KassaUt2">'Siffror (Rör ej)'!$G$34</definedName>
    <definedName name="KassaUt3">'Siffror (Rör ej)'!$G$50</definedName>
    <definedName name="Kassaut4">'Siffror (Rör ej)'!$G$66</definedName>
    <definedName name="Kårrum">'Siffror (Rör ej)'!$D$11</definedName>
    <definedName name="Kårrum1">'Siffror (Rör ej)'!$I$11</definedName>
    <definedName name="Kårrum2">'Siffror (Rör ej)'!$I$28</definedName>
    <definedName name="Kårrum3">'Siffror (Rör ej)'!$I$44</definedName>
    <definedName name="Kårrum4">'Siffror (Rör ej)'!$I$60</definedName>
    <definedName name="KårrumIntäkter1">'Siffror (Rör ej)'!$U$11</definedName>
    <definedName name="KårrumIntäkter2">'Siffror (Rör ej)'!$W$11</definedName>
    <definedName name="KårrumIntäkter3">'Siffror (Rör ej)'!$Y$11</definedName>
    <definedName name="KårrumIntäkter4">'Siffror (Rör ej)'!$AA$11</definedName>
    <definedName name="KårrumKostnader1">'Siffror (Rör ej)'!$V$11</definedName>
    <definedName name="KårrumKostnader2">'Siffror (Rör ej)'!$X$11</definedName>
    <definedName name="KårrumKostnader3">'Siffror (Rör ej)'!$Z$11</definedName>
    <definedName name="KårrumKostnader4">'Siffror (Rör ej)'!$AB$11</definedName>
    <definedName name="KårrumTotalaIntäkter">'Siffror (Rör ej)'!$AC$11</definedName>
    <definedName name="KårrumTotalaKostnader">'Siffror (Rör ej)'!$AD$11</definedName>
    <definedName name="Lobbying">'Siffror (Rör ej)'!$D$5</definedName>
    <definedName name="Lobbying1">'Siffror (Rör ej)'!$I$5</definedName>
    <definedName name="Lobbying2">'Siffror (Rör ej)'!$I$22</definedName>
    <definedName name="Lobbying3">'Siffror (Rör ej)'!$I$38</definedName>
    <definedName name="Lobbying4">'Siffror (Rör ej)'!$I$54</definedName>
    <definedName name="LobbyingIntäkter1">'Siffror (Rör ej)'!$U$5</definedName>
    <definedName name="LobbyingIntäkter2">'Siffror (Rör ej)'!$W$5</definedName>
    <definedName name="LobbyingIntäkter3">'Siffror (Rör ej)'!$Y$5</definedName>
    <definedName name="LobbyingIntäkter4">'Siffror (Rör ej)'!$AA$5</definedName>
    <definedName name="LobbyingKostnader1">'Siffror (Rör ej)'!$V$5</definedName>
    <definedName name="LobbyingKostnader2">'Siffror (Rör ej)'!$X$5</definedName>
    <definedName name="LobbyingKostnader3">'Siffror (Rör ej)'!$Z$5</definedName>
    <definedName name="LobbyingKostnader4">'Siffror (Rör ej)'!$AB$5</definedName>
    <definedName name="LobbyingTotalaIntäkter">'Siffror (Rör ej)'!$AC$5</definedName>
    <definedName name="LobbyingTotalaKostnader">'Siffror (Rör ej)'!$AD$5</definedName>
    <definedName name="Medlemsavgift">'Siffror (Rör ej)'!$D$15</definedName>
    <definedName name="Medlemsavgift1">'Siffror (Rör ej)'!$I$15</definedName>
    <definedName name="Medlemsavgift2">'Siffror (Rör ej)'!$I$32</definedName>
    <definedName name="Medlemsavgift3">'Siffror (Rör ej)'!$I$48</definedName>
    <definedName name="Medlemsavgift4">'Siffror (Rör ej)'!$I$64</definedName>
    <definedName name="MedlemsavgifterIntäkter1">'Siffror (Rör ej)'!$U$15</definedName>
    <definedName name="MedlemsavgiftIntäkter2">'Siffror (Rör ej)'!$W$15</definedName>
    <definedName name="MedlemsavgiftIntäkter3">'Siffror (Rör ej)'!$Y$15</definedName>
    <definedName name="MedlemsavgiftIntäkter4">'Siffror (Rör ej)'!$AA$15</definedName>
    <definedName name="MedlemsavgiftKostnader1">'Siffror (Rör ej)'!$V$15</definedName>
    <definedName name="MedlemsavgiftKostnader2">'Siffror (Rör ej)'!$X$15</definedName>
    <definedName name="MedlemsavgiftKostnader3">'Siffror (Rör ej)'!$Z$15</definedName>
    <definedName name="MedlemsavgiftKostnader4">'Siffror (Rör ej)'!$AB$15</definedName>
    <definedName name="MedlemsavgiftTotalaIntäkter">'Siffror (Rör ej)'!$AC$15</definedName>
    <definedName name="MedlemsavgiftTotalaKostnader">'Siffror (Rör ej)'!$AD$15</definedName>
    <definedName name="Mestintäkt">'Siffror (Rör ej)'!$Z$21</definedName>
    <definedName name="Mestintäkt1">'Siffror (Rör ej)'!$R$21</definedName>
    <definedName name="Mestintäkt2">'Siffror (Rör ej)'!$R$25</definedName>
    <definedName name="Mestintäkt3">'Siffror (Rör ej)'!$R$29</definedName>
    <definedName name="Mestintäkt4">'Siffror (Rör ej)'!$R$33</definedName>
    <definedName name="Mestkostnad">'Siffror (Rör ej)'!$Z$25</definedName>
    <definedName name="Mestkostnad1">'Siffror (Rör ej)'!$V$21</definedName>
    <definedName name="Mestkostnad2">'Siffror (Rör ej)'!$V$25</definedName>
    <definedName name="Mestkostnad3">'Siffror (Rör ej)'!$V$29</definedName>
    <definedName name="Mestkostnad4">'Siffror (Rör ej)'!$V$33</definedName>
    <definedName name="Resor">'Siffror (Rör ej)'!$D$10</definedName>
    <definedName name="Resor1">'Siffror (Rör ej)'!$I$10</definedName>
    <definedName name="Resor2">'Siffror (Rör ej)'!$I$27</definedName>
    <definedName name="Resor3">'Siffror (Rör ej)'!$I$43</definedName>
    <definedName name="Resor4">'Siffror (Rör ej)'!$I$59</definedName>
    <definedName name="ResorIntäkter1">'Siffror (Rör ej)'!$U$10</definedName>
    <definedName name="ResorIntäkter2">'Siffror (Rör ej)'!$W$10</definedName>
    <definedName name="ResorIntäkter3">'Siffror (Rör ej)'!$Y$10</definedName>
    <definedName name="ResorIntäkter4">'Siffror (Rör ej)'!$AA$10</definedName>
    <definedName name="ResorKostnader1">'Siffror (Rör ej)'!$V$10</definedName>
    <definedName name="ResorKostnader2">'Siffror (Rör ej)'!$X$10</definedName>
    <definedName name="ResorKostnader3">'Siffror (Rör ej)'!$Z$10</definedName>
    <definedName name="ResorKostnader4">'Siffror (Rör ej)'!$AB$10</definedName>
    <definedName name="ResorTotalaIntäkter">'Siffror (Rör ej)'!$AC$10</definedName>
    <definedName name="ResorTotalaKostnader">'Siffror (Rör ej)'!$AD$10</definedName>
    <definedName name="ResultatBank1">'Siffror (Rör ej)'!$K$17</definedName>
    <definedName name="ResultatBank2">'Siffror (Rör ej)'!$K$34</definedName>
    <definedName name="ResultatBank3">'Siffror (Rör ej)'!$K$50</definedName>
    <definedName name="ResultatBank4">'Siffror (Rör ej)'!$K$66</definedName>
    <definedName name="ResultatKassa1">'Siffror (Rör ej)'!$J$17</definedName>
    <definedName name="ResultatKassa2">'Siffror (Rör ej)'!$J$34</definedName>
    <definedName name="ResultatKassa3">'Siffror (Rör ej)'!$J$50</definedName>
    <definedName name="ResultatKassa4">'Siffror (Rör ej)'!$J$66</definedName>
    <definedName name="Service">'Siffror (Rör ej)'!$D$7</definedName>
    <definedName name="Service1">'Siffror (Rör ej)'!$I$7</definedName>
    <definedName name="Service2">'Siffror (Rör ej)'!$I$24</definedName>
    <definedName name="Service3">'Siffror (Rör ej)'!$I$40</definedName>
    <definedName name="Service4">'Siffror (Rör ej)'!$I$56</definedName>
    <definedName name="ServiceIntäkter1">'Siffror (Rör ej)'!$U$7</definedName>
    <definedName name="ServiceIntäkter2">'Siffror (Rör ej)'!$W$7</definedName>
    <definedName name="ServiceIntäkter3">'Siffror (Rör ej)'!$Y$7</definedName>
    <definedName name="ServiceIntäkter4">'Siffror (Rör ej)'!$AA$7</definedName>
    <definedName name="ServiceKostnader1">'Siffror (Rör ej)'!$V$7</definedName>
    <definedName name="ServiceKostnader2">'Siffror (Rör ej)'!$X$7</definedName>
    <definedName name="ServiceKostnader3">'Siffror (Rör ej)'!$Z$7</definedName>
    <definedName name="ServiceKostnader4">'Siffror (Rör ej)'!$AB$7</definedName>
    <definedName name="ServiceTotalaIntäkter">'Siffror (Rör ej)'!$AC$7</definedName>
    <definedName name="ServiceTotalaKostnader">'Siffror (Rör ej)'!$AD$7</definedName>
    <definedName name="StörstaIntäkten1">'Alternativ (Rör ej)'!$B$2</definedName>
    <definedName name="StörstaIntäkten2">'Alternativ (Rör ej)'!$C$2</definedName>
    <definedName name="StörstaIntäkten3">'Alternativ (Rör ej)'!$D$2</definedName>
    <definedName name="StörstaIntäkten4">'Alternativ (Rör ej)'!$E$2</definedName>
    <definedName name="StörstaIntäktenTotalt">'Alternativ (Rör ej)'!$B$6</definedName>
    <definedName name="StörstaKostnaden1">'Alternativ (Rör ej)'!$B$4</definedName>
    <definedName name="StörstaKostnaden2">'Alternativ (Rör ej)'!$C$4</definedName>
    <definedName name="StörstaKostnaden3">'Alternativ (Rör ej)'!$D$4</definedName>
    <definedName name="StörstaKostnaden4">'Alternativ (Rör ej)'!$E$4</definedName>
    <definedName name="StörstaKostnadenTotalt">'Alternativ (Rör ej)'!$C$6</definedName>
    <definedName name="Svar1">'Alternativ (Rör ej)'!$E$8</definedName>
    <definedName name="Svar2">'Alternativ (Rör ej)'!$E$9</definedName>
    <definedName name="TotalaBankintäkter">'Siffror (Rör ej)'!$P$70</definedName>
    <definedName name="TotalaBankintäkter1">'Siffror (Rör ej)'!$P$7</definedName>
    <definedName name="TotalaBankintäkter2">'Siffror (Rör ej)'!$P$24</definedName>
    <definedName name="TotalaBankintäkter3">'Siffror (Rör ej)'!$P$40</definedName>
    <definedName name="TotalaBankintäkter4">'Siffror (Rör ej)'!$P$56</definedName>
    <definedName name="TotalaBankutgifter">'Siffror (Rör ej)'!$P$73</definedName>
    <definedName name="TotalaBankutgifter1">'Siffror (Rör ej)'!$P$11</definedName>
    <definedName name="TotalaBankutgifter2">'Siffror (Rör ej)'!$P$28</definedName>
    <definedName name="TotalaBankutgifter3">'Siffror (Rör ej)'!$P$44</definedName>
    <definedName name="TotalaBankutgifter4">'Siffror (Rör ej)'!$P$60</definedName>
    <definedName name="TotalaKassaintäkter">'Siffror (Rör ej)'!$P$71</definedName>
    <definedName name="TotalaKassaintäkter1">'Siffror (Rör ej)'!$P$8</definedName>
    <definedName name="TotalaKassaintäkter2">'Siffror (Rör ej)'!$P$25</definedName>
    <definedName name="TotalaKassaintäkter3">'Siffror (Rör ej)'!$P$41</definedName>
    <definedName name="TotalaKassaintäkter4">'Siffror (Rör ej)'!$P$57</definedName>
    <definedName name="TotalaKassautgifter">'Siffror (Rör ej)'!$P$74</definedName>
    <definedName name="TotalaKassautgifter1">'Siffror (Rör ej)'!$P$12</definedName>
    <definedName name="TotalaKassautgifter2">'Siffror (Rör ej)'!$P$29</definedName>
    <definedName name="TotalaKassautgifter3">'Siffror (Rör ej)'!$P$45</definedName>
    <definedName name="TotalaKassautgifter4">'Siffror (Rör ej)'!$P$61</definedName>
    <definedName name="TotaltResultat1">'Siffror (Rör ej)'!$I$17</definedName>
    <definedName name="_xlnm.Print_Area" localSheetId="7">Bokslut!$A$1:$I$46</definedName>
    <definedName name="ÖvrigaBidragOchSponsring">'Siffror (Rör ej)'!$D$14</definedName>
    <definedName name="ÖvrigaBidragOchSponsring1">'Siffror (Rör ej)'!$I$14</definedName>
    <definedName name="ÖvrigaBidragOchSponsring2">'Siffror (Rör ej)'!$I$31</definedName>
    <definedName name="ÖvrigaBidragOchSponsring3">'Siffror (Rör ej)'!$I$47</definedName>
    <definedName name="ÖvrigaBidragOchSponsring4">'Siffror (Rör ej)'!$I$63</definedName>
    <definedName name="ÖvrigaBidragOchSponsringIntäkter1">'Siffror (Rör ej)'!$U$14</definedName>
    <definedName name="ÖvrigaBidragOchSponsringIntäkter2">'Siffror (Rör ej)'!$W$14</definedName>
    <definedName name="ÖvrigaBidragOchSponsringIntäkter3">'Siffror (Rör ej)'!$Y$14</definedName>
    <definedName name="ÖvrigaBidragOchSponsringIntäkter4">'Siffror (Rör ej)'!$AA$14</definedName>
    <definedName name="ÖvrigaBidragOchSponsringKostnader1">'Siffror (Rör ej)'!$V$14</definedName>
    <definedName name="ÖvrigaBidragOchSponsringKostnader2">'Siffror (Rör ej)'!$X$14</definedName>
    <definedName name="ÖvrigaBidragOchSponsringKostnader3">'Siffror (Rör ej)'!$Z$14</definedName>
    <definedName name="ÖvrigaBidragOchSponsringKostnader4">'Siffror (Rör ej)'!$AB$14</definedName>
    <definedName name="ÖvrigaBidragOchSponsringKostnader5">'Siffror (Rör ej)'!$AB$14</definedName>
    <definedName name="ÖvrigaBidragTotalaIntäkter">'Siffror (Rör ej)'!$AC$14</definedName>
    <definedName name="ÖvrigaBidragTotalaKostnader">'Siffror (Rör ej)'!$AD$14</definedName>
    <definedName name="Övrigt">'Siffror (Rör ej)'!$D$16</definedName>
    <definedName name="Övrigt1">'Siffror (Rör ej)'!$I$16</definedName>
    <definedName name="Övrigt2">'Siffror (Rör ej)'!$I$33</definedName>
    <definedName name="Övrigt3">'Siffror (Rör ej)'!$I$49</definedName>
    <definedName name="Övrigt4">'Siffror (Rör ej)'!$I$65</definedName>
    <definedName name="ÖvrigtIntäkter1">'Siffror (Rör ej)'!$U$16</definedName>
    <definedName name="ÖvrigtIntäkter2">'Siffror (Rör ej)'!$W$16</definedName>
    <definedName name="ÖvrigtIntäkter3">'Siffror (Rör ej)'!$Y$16</definedName>
    <definedName name="ÖvrigtIntäkter4">'Siffror (Rör ej)'!$AA$16</definedName>
    <definedName name="ÖvrigtKostnader1">'Siffror (Rör ej)'!$V$16</definedName>
    <definedName name="ÖvrigtKostnader2">'Siffror (Rör ej)'!$X$16</definedName>
    <definedName name="ÖvrigtKostnader3">'Siffror (Rör ej)'!$Z$16</definedName>
    <definedName name="ÖvrigtKostnader4">'Siffror (Rör ej)'!$AB$16</definedName>
    <definedName name="ÖvrigtTotalaIntäkter">'Siffror (Rör ej)'!$AC$16</definedName>
    <definedName name="ÖvrigtTotalaKostnader">'Siffror (Rör ej)'!$AD$16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A42" i="8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64" i="5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D65" i="2"/>
  <c r="E65" i="2"/>
  <c r="D64" i="2"/>
  <c r="H64" i="2"/>
  <c r="D63" i="2"/>
  <c r="G63" i="2"/>
  <c r="D62" i="2"/>
  <c r="F62" i="2"/>
  <c r="D61" i="2"/>
  <c r="E61" i="2"/>
  <c r="D60" i="2"/>
  <c r="H60" i="2"/>
  <c r="D59" i="2"/>
  <c r="G59" i="2"/>
  <c r="D58" i="2"/>
  <c r="F58" i="2"/>
  <c r="D57" i="2"/>
  <c r="E57" i="2"/>
  <c r="D56" i="2"/>
  <c r="H56" i="2"/>
  <c r="D55" i="2"/>
  <c r="G55" i="2"/>
  <c r="D54" i="2"/>
  <c r="F54" i="2"/>
  <c r="D53" i="2"/>
  <c r="F53" i="2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G62" i="2"/>
  <c r="H62" i="2"/>
  <c r="AA13" i="2"/>
  <c r="S25" i="7"/>
  <c r="P6" i="1"/>
  <c r="E55" i="2"/>
  <c r="G53" i="2"/>
  <c r="H63" i="2"/>
  <c r="J63" i="2"/>
  <c r="H55" i="2"/>
  <c r="F65" i="2"/>
  <c r="H54" i="2"/>
  <c r="AA5" i="2"/>
  <c r="S20" i="7"/>
  <c r="E63" i="2"/>
  <c r="F61" i="2"/>
  <c r="G58" i="2"/>
  <c r="H59" i="2"/>
  <c r="J59" i="2"/>
  <c r="E59" i="2"/>
  <c r="F57" i="2"/>
  <c r="G54" i="2"/>
  <c r="H58" i="2"/>
  <c r="E64" i="2"/>
  <c r="E60" i="2"/>
  <c r="E56" i="2"/>
  <c r="F64" i="2"/>
  <c r="F60" i="2"/>
  <c r="AA11" i="2"/>
  <c r="S30" i="7"/>
  <c r="F56" i="2"/>
  <c r="AA7" i="2"/>
  <c r="S22" i="7"/>
  <c r="G65" i="2"/>
  <c r="G61" i="2"/>
  <c r="G57" i="2"/>
  <c r="H53" i="2"/>
  <c r="AA4" i="2"/>
  <c r="S19" i="7"/>
  <c r="E53" i="2"/>
  <c r="K53" i="2"/>
  <c r="E62" i="2"/>
  <c r="E58" i="2"/>
  <c r="E54" i="2"/>
  <c r="K54" i="2"/>
  <c r="F63" i="2"/>
  <c r="F59" i="2"/>
  <c r="F55" i="2"/>
  <c r="G64" i="2"/>
  <c r="J64" i="2"/>
  <c r="G60" i="2"/>
  <c r="J60" i="2"/>
  <c r="G56" i="2"/>
  <c r="H65" i="2"/>
  <c r="H61" i="2"/>
  <c r="H57" i="2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F8" i="6"/>
  <c r="F9" i="6"/>
  <c r="P32" i="1" s="1"/>
  <c r="B5" i="8"/>
  <c r="F4" i="2"/>
  <c r="F5" i="2"/>
  <c r="F6" i="2"/>
  <c r="F7" i="2"/>
  <c r="F8" i="2"/>
  <c r="F9" i="2"/>
  <c r="F10" i="2"/>
  <c r="F11" i="2"/>
  <c r="F12" i="2"/>
  <c r="F13" i="2"/>
  <c r="F14" i="2"/>
  <c r="F15" i="2"/>
  <c r="F16" i="2"/>
  <c r="E4" i="2"/>
  <c r="E5" i="2"/>
  <c r="E6" i="2"/>
  <c r="E7" i="2"/>
  <c r="E8" i="2"/>
  <c r="E9" i="2"/>
  <c r="E10" i="2"/>
  <c r="E11" i="2"/>
  <c r="E12" i="2"/>
  <c r="E13" i="2"/>
  <c r="E14" i="2"/>
  <c r="E15" i="2"/>
  <c r="K15" i="2" s="1"/>
  <c r="E16" i="2"/>
  <c r="H4" i="2"/>
  <c r="H5" i="2"/>
  <c r="H6" i="2"/>
  <c r="H7" i="2"/>
  <c r="H8" i="2"/>
  <c r="H9" i="2"/>
  <c r="H10" i="2"/>
  <c r="U10" i="2" s="1"/>
  <c r="H11" i="2"/>
  <c r="H12" i="2"/>
  <c r="H13" i="2"/>
  <c r="H14" i="2"/>
  <c r="U14" i="2" s="1"/>
  <c r="H15" i="2"/>
  <c r="H16" i="2"/>
  <c r="H45" i="2"/>
  <c r="G4" i="2"/>
  <c r="V4" i="2" s="1"/>
  <c r="G5" i="2"/>
  <c r="G6" i="2"/>
  <c r="G7" i="2"/>
  <c r="G8" i="2"/>
  <c r="G9" i="2"/>
  <c r="G10" i="2"/>
  <c r="G11" i="2"/>
  <c r="G12" i="2"/>
  <c r="G17" i="2" s="1"/>
  <c r="P12" i="2" s="1"/>
  <c r="G13" i="2"/>
  <c r="G14" i="2"/>
  <c r="G15" i="2"/>
  <c r="J15" i="2" s="1"/>
  <c r="G16" i="2"/>
  <c r="J16" i="2" s="1"/>
  <c r="E20" i="1"/>
  <c r="J32" i="8"/>
  <c r="E30" i="8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11" i="6"/>
  <c r="A43" i="8"/>
  <c r="C39" i="8"/>
  <c r="P3" i="1"/>
  <c r="D9" i="6"/>
  <c r="E8" i="6"/>
  <c r="D8" i="6"/>
  <c r="G8" i="6"/>
  <c r="E29" i="8"/>
  <c r="E9" i="6"/>
  <c r="T21" i="1"/>
  <c r="T29" i="1"/>
  <c r="C9" i="6"/>
  <c r="C8" i="6"/>
  <c r="T16" i="2"/>
  <c r="T15" i="2"/>
  <c r="T14" i="2"/>
  <c r="T13" i="2"/>
  <c r="T12" i="2"/>
  <c r="T11" i="2"/>
  <c r="T10" i="2"/>
  <c r="T9" i="2"/>
  <c r="T8" i="2"/>
  <c r="T7" i="2"/>
  <c r="T6" i="2"/>
  <c r="T5" i="2"/>
  <c r="T4" i="2"/>
  <c r="D42" i="2"/>
  <c r="E42" i="2"/>
  <c r="D26" i="2"/>
  <c r="F26" i="2"/>
  <c r="D49" i="2"/>
  <c r="E49" i="2"/>
  <c r="D48" i="2"/>
  <c r="G48" i="2"/>
  <c r="D47" i="2"/>
  <c r="H47" i="2"/>
  <c r="D46" i="2"/>
  <c r="F46" i="2"/>
  <c r="D45" i="2"/>
  <c r="D44" i="2"/>
  <c r="E44" i="2"/>
  <c r="D43" i="2"/>
  <c r="H43" i="2"/>
  <c r="D41" i="2"/>
  <c r="H41" i="2"/>
  <c r="D40" i="2"/>
  <c r="G40" i="2"/>
  <c r="D39" i="2"/>
  <c r="F39" i="2"/>
  <c r="D38" i="2"/>
  <c r="E38" i="2"/>
  <c r="D37" i="2"/>
  <c r="H37" i="2"/>
  <c r="D33" i="2"/>
  <c r="H33" i="2"/>
  <c r="D32" i="2"/>
  <c r="D31" i="2"/>
  <c r="F31" i="2"/>
  <c r="D30" i="2"/>
  <c r="G30" i="2"/>
  <c r="D29" i="2"/>
  <c r="F29" i="2"/>
  <c r="D28" i="2"/>
  <c r="H28" i="2"/>
  <c r="D27" i="2"/>
  <c r="F27" i="2"/>
  <c r="D25" i="2"/>
  <c r="H25" i="2"/>
  <c r="D24" i="2"/>
  <c r="E24" i="2"/>
  <c r="D23" i="2"/>
  <c r="G23" i="2"/>
  <c r="D22" i="2"/>
  <c r="H22" i="2"/>
  <c r="D21" i="2"/>
  <c r="F21" i="2"/>
  <c r="J62" i="2"/>
  <c r="I62" i="2"/>
  <c r="U15" i="2"/>
  <c r="U11" i="2"/>
  <c r="U7" i="2"/>
  <c r="P22" i="7" s="1"/>
  <c r="U6" i="2"/>
  <c r="U13" i="2"/>
  <c r="P25" i="7" s="1"/>
  <c r="U9" i="2"/>
  <c r="U5" i="2"/>
  <c r="AC5" i="2" s="1"/>
  <c r="Q5" i="7" s="1"/>
  <c r="D10" i="8" s="1"/>
  <c r="U16" i="2"/>
  <c r="P28" i="7" s="1"/>
  <c r="U8" i="2"/>
  <c r="P23" i="7" s="1"/>
  <c r="P4" i="1"/>
  <c r="J58" i="2"/>
  <c r="J57" i="2"/>
  <c r="P5" i="1"/>
  <c r="I55" i="2"/>
  <c r="AA9" i="2"/>
  <c r="J61" i="2"/>
  <c r="J65" i="2"/>
  <c r="I58" i="2"/>
  <c r="G9" i="6"/>
  <c r="I57" i="2"/>
  <c r="AA8" i="2"/>
  <c r="S23" i="7"/>
  <c r="K5" i="2"/>
  <c r="K13" i="2"/>
  <c r="K6" i="2"/>
  <c r="K9" i="2"/>
  <c r="J8" i="2"/>
  <c r="J11" i="2"/>
  <c r="J7" i="2"/>
  <c r="K10" i="2"/>
  <c r="I7" i="2"/>
  <c r="P30" i="7"/>
  <c r="V5" i="2"/>
  <c r="P35" i="7" s="1"/>
  <c r="V16" i="2"/>
  <c r="P42" i="7" s="1"/>
  <c r="I9" i="2"/>
  <c r="J5" i="2"/>
  <c r="I14" i="2"/>
  <c r="K14" i="2"/>
  <c r="V6" i="2"/>
  <c r="P36" i="7"/>
  <c r="J12" i="2"/>
  <c r="J14" i="2"/>
  <c r="J10" i="2"/>
  <c r="J6" i="2"/>
  <c r="V15" i="2"/>
  <c r="P41" i="7" s="1"/>
  <c r="I11" i="2"/>
  <c r="K7" i="2"/>
  <c r="K16" i="2"/>
  <c r="K8" i="2"/>
  <c r="P27" i="7"/>
  <c r="V14" i="2"/>
  <c r="P40" i="7" s="1"/>
  <c r="V10" i="2"/>
  <c r="AD10" i="2" s="1"/>
  <c r="R14" i="7" s="1"/>
  <c r="H14" i="8" s="1"/>
  <c r="I13" i="2"/>
  <c r="J9" i="2"/>
  <c r="V11" i="2"/>
  <c r="P44" i="7" s="1"/>
  <c r="V7" i="2"/>
  <c r="P37" i="7" s="1"/>
  <c r="H17" i="2"/>
  <c r="P8" i="2" s="1"/>
  <c r="P71" i="2" s="1"/>
  <c r="J13" i="2"/>
  <c r="V13" i="2"/>
  <c r="P39" i="7" s="1"/>
  <c r="V9" i="2"/>
  <c r="I5" i="2"/>
  <c r="K11" i="2"/>
  <c r="I10" i="2"/>
  <c r="I16" i="2"/>
  <c r="V8" i="2"/>
  <c r="P38" i="7" s="1"/>
  <c r="I8" i="2"/>
  <c r="E17" i="2"/>
  <c r="I6" i="2"/>
  <c r="P21" i="7"/>
  <c r="K4" i="2"/>
  <c r="F17" i="2"/>
  <c r="P7" i="2" s="1"/>
  <c r="J55" i="2"/>
  <c r="I63" i="2"/>
  <c r="AA14" i="2"/>
  <c r="S26" i="7"/>
  <c r="I65" i="2"/>
  <c r="AA16" i="2"/>
  <c r="S28" i="7"/>
  <c r="G27" i="2"/>
  <c r="AA12" i="2"/>
  <c r="S24" i="7"/>
  <c r="E27" i="2"/>
  <c r="K61" i="2"/>
  <c r="AA6" i="2"/>
  <c r="S21" i="7"/>
  <c r="G43" i="2"/>
  <c r="H38" i="2"/>
  <c r="F42" i="2"/>
  <c r="K42" i="2"/>
  <c r="K60" i="2"/>
  <c r="K56" i="2"/>
  <c r="G66" i="2"/>
  <c r="P61" i="2"/>
  <c r="I59" i="2"/>
  <c r="AA10" i="2"/>
  <c r="S29" i="7"/>
  <c r="I61" i="2"/>
  <c r="K64" i="2"/>
  <c r="AA15" i="2"/>
  <c r="S27" i="7"/>
  <c r="F47" i="2"/>
  <c r="Y14" i="2"/>
  <c r="R26" i="7"/>
  <c r="F38" i="2"/>
  <c r="J56" i="2"/>
  <c r="F66" i="2"/>
  <c r="P56" i="2"/>
  <c r="G31" i="2"/>
  <c r="G22" i="2"/>
  <c r="J22" i="2"/>
  <c r="E41" i="2"/>
  <c r="F30" i="2"/>
  <c r="G47" i="2"/>
  <c r="J47" i="2"/>
  <c r="H42" i="2"/>
  <c r="E31" i="2"/>
  <c r="F43" i="2"/>
  <c r="Y10" i="2"/>
  <c r="R29" i="7"/>
  <c r="F22" i="2"/>
  <c r="W5" i="2"/>
  <c r="K63" i="2"/>
  <c r="K55" i="2"/>
  <c r="K58" i="2"/>
  <c r="I53" i="2"/>
  <c r="E66" i="2"/>
  <c r="P60" i="2"/>
  <c r="J54" i="2"/>
  <c r="K59" i="2"/>
  <c r="I54" i="2"/>
  <c r="I64" i="2"/>
  <c r="I60" i="2"/>
  <c r="I56" i="2"/>
  <c r="J53" i="2"/>
  <c r="H66" i="2"/>
  <c r="P57" i="2"/>
  <c r="K65" i="2"/>
  <c r="K57" i="2"/>
  <c r="K62" i="2"/>
  <c r="J43" i="2"/>
  <c r="F23" i="2"/>
  <c r="H23" i="2"/>
  <c r="J23" i="2"/>
  <c r="E23" i="2"/>
  <c r="G28" i="2"/>
  <c r="J28" i="2"/>
  <c r="F28" i="2"/>
  <c r="E28" i="2"/>
  <c r="G32" i="2"/>
  <c r="F32" i="2"/>
  <c r="H32" i="2"/>
  <c r="E32" i="2"/>
  <c r="H39" i="2"/>
  <c r="E39" i="2"/>
  <c r="G39" i="2"/>
  <c r="F44" i="2"/>
  <c r="H44" i="2"/>
  <c r="G44" i="2"/>
  <c r="Z11" i="2"/>
  <c r="R44" i="7"/>
  <c r="F48" i="2"/>
  <c r="H48" i="2"/>
  <c r="J48" i="2"/>
  <c r="E48" i="2"/>
  <c r="AB15" i="2"/>
  <c r="S41" i="7"/>
  <c r="G24" i="2"/>
  <c r="X7" i="2"/>
  <c r="F24" i="2"/>
  <c r="E29" i="2"/>
  <c r="G29" i="2"/>
  <c r="E33" i="2"/>
  <c r="G33" i="2"/>
  <c r="J33" i="2"/>
  <c r="F40" i="2"/>
  <c r="H40" i="2"/>
  <c r="J40" i="2"/>
  <c r="G45" i="2"/>
  <c r="J45" i="2"/>
  <c r="F45" i="2"/>
  <c r="G49" i="2"/>
  <c r="Z16" i="2"/>
  <c r="R42" i="7"/>
  <c r="F49" i="2"/>
  <c r="H49" i="2"/>
  <c r="H24" i="2"/>
  <c r="E40" i="2"/>
  <c r="AB7" i="2"/>
  <c r="S37" i="7"/>
  <c r="E21" i="2"/>
  <c r="K21" i="2"/>
  <c r="G21" i="2"/>
  <c r="E25" i="2"/>
  <c r="G25" i="2"/>
  <c r="J25" i="2"/>
  <c r="H30" i="2"/>
  <c r="J30" i="2"/>
  <c r="E30" i="2"/>
  <c r="G37" i="2"/>
  <c r="F37" i="2"/>
  <c r="Y4" i="2"/>
  <c r="G41" i="2"/>
  <c r="F41" i="2"/>
  <c r="E46" i="2"/>
  <c r="G46" i="2"/>
  <c r="H26" i="2"/>
  <c r="E26" i="2"/>
  <c r="K26" i="2"/>
  <c r="G26" i="2"/>
  <c r="H46" i="2"/>
  <c r="H29" i="2"/>
  <c r="J29" i="2"/>
  <c r="H21" i="2"/>
  <c r="W4" i="2"/>
  <c r="E45" i="2"/>
  <c r="E37" i="2"/>
  <c r="F33" i="2"/>
  <c r="F25" i="2"/>
  <c r="G42" i="2"/>
  <c r="AB9" i="2"/>
  <c r="G38" i="2"/>
  <c r="H31" i="2"/>
  <c r="H27" i="2"/>
  <c r="E47" i="2"/>
  <c r="E43" i="2"/>
  <c r="E22" i="2"/>
  <c r="N7" i="1"/>
  <c r="X10" i="2"/>
  <c r="J27" i="2"/>
  <c r="AB4" i="2"/>
  <c r="S34" i="7"/>
  <c r="AB10" i="2"/>
  <c r="S43" i="7"/>
  <c r="J44" i="2"/>
  <c r="AB12" i="2"/>
  <c r="P62" i="2"/>
  <c r="J66" i="2"/>
  <c r="E2" i="6"/>
  <c r="R33" i="2"/>
  <c r="J38" i="2"/>
  <c r="Y9" i="2"/>
  <c r="J24" i="2"/>
  <c r="Z8" i="2"/>
  <c r="R38" i="7"/>
  <c r="P58" i="2"/>
  <c r="P64" i="2"/>
  <c r="P11" i="2"/>
  <c r="P73" i="2" s="1"/>
  <c r="AB5" i="2"/>
  <c r="S35" i="7"/>
  <c r="AB16" i="2"/>
  <c r="S42" i="7"/>
  <c r="AB14" i="2"/>
  <c r="S40" i="7"/>
  <c r="I41" i="2"/>
  <c r="K30" i="2"/>
  <c r="AB6" i="2"/>
  <c r="S36" i="7"/>
  <c r="Y5" i="2"/>
  <c r="R20" i="7"/>
  <c r="K27" i="2"/>
  <c r="K46" i="2"/>
  <c r="AB13" i="2"/>
  <c r="S39" i="7"/>
  <c r="I27" i="2"/>
  <c r="X14" i="2"/>
  <c r="Q40" i="7"/>
  <c r="AB8" i="2"/>
  <c r="S38" i="7"/>
  <c r="K31" i="2"/>
  <c r="Q43" i="7"/>
  <c r="AB11" i="2"/>
  <c r="S44" i="7"/>
  <c r="H50" i="2"/>
  <c r="P41" i="2"/>
  <c r="I44" i="2"/>
  <c r="J31" i="2"/>
  <c r="J26" i="2"/>
  <c r="J49" i="2"/>
  <c r="J32" i="2"/>
  <c r="K38" i="2"/>
  <c r="K66" i="2"/>
  <c r="I66" i="2"/>
  <c r="Q19" i="7"/>
  <c r="I22" i="2"/>
  <c r="X5" i="2"/>
  <c r="W16" i="2"/>
  <c r="K33" i="2"/>
  <c r="X15" i="2"/>
  <c r="I32" i="2"/>
  <c r="Q37" i="7"/>
  <c r="W14" i="2"/>
  <c r="W13" i="2"/>
  <c r="W12" i="2"/>
  <c r="J41" i="2"/>
  <c r="Y13" i="2"/>
  <c r="R25" i="7"/>
  <c r="J46" i="2"/>
  <c r="W11" i="2"/>
  <c r="K28" i="2"/>
  <c r="W6" i="2"/>
  <c r="K23" i="2"/>
  <c r="Z5" i="2"/>
  <c r="R35" i="7"/>
  <c r="W9" i="2"/>
  <c r="AC9" i="2"/>
  <c r="I47" i="2"/>
  <c r="Z14" i="2"/>
  <c r="R40" i="7"/>
  <c r="I42" i="2"/>
  <c r="Z9" i="2"/>
  <c r="I45" i="2"/>
  <c r="Z12" i="2"/>
  <c r="Z13" i="2"/>
  <c r="R39" i="7"/>
  <c r="I46" i="2"/>
  <c r="G50" i="2"/>
  <c r="P45" i="2"/>
  <c r="X8" i="2"/>
  <c r="I25" i="2"/>
  <c r="Y16" i="2"/>
  <c r="R28" i="7"/>
  <c r="K49" i="2"/>
  <c r="Z6" i="2"/>
  <c r="R36" i="7"/>
  <c r="I39" i="2"/>
  <c r="W15" i="2"/>
  <c r="K32" i="2"/>
  <c r="W10" i="2"/>
  <c r="K22" i="2"/>
  <c r="K39" i="2"/>
  <c r="E34" i="2"/>
  <c r="I21" i="2"/>
  <c r="X4" i="2"/>
  <c r="Y12" i="2"/>
  <c r="R24" i="7"/>
  <c r="K45" i="2"/>
  <c r="W7" i="2"/>
  <c r="K24" i="2"/>
  <c r="I24" i="2"/>
  <c r="K44" i="2"/>
  <c r="Y11" i="2"/>
  <c r="R30" i="7"/>
  <c r="X11" i="2"/>
  <c r="I28" i="2"/>
  <c r="K43" i="2"/>
  <c r="Z10" i="2"/>
  <c r="I43" i="2"/>
  <c r="E50" i="2"/>
  <c r="Z4" i="2"/>
  <c r="I37" i="2"/>
  <c r="F50" i="2"/>
  <c r="K37" i="2"/>
  <c r="X16" i="2"/>
  <c r="I33" i="2"/>
  <c r="Y15" i="2"/>
  <c r="R27" i="7"/>
  <c r="K48" i="2"/>
  <c r="W8" i="2"/>
  <c r="K25" i="2"/>
  <c r="H34" i="2"/>
  <c r="P25" i="2"/>
  <c r="J21" i="2"/>
  <c r="X9" i="2"/>
  <c r="I26" i="2"/>
  <c r="Y8" i="2"/>
  <c r="R23" i="7"/>
  <c r="K41" i="2"/>
  <c r="X13" i="2"/>
  <c r="I30" i="2"/>
  <c r="G34" i="2"/>
  <c r="P29" i="2"/>
  <c r="I40" i="2"/>
  <c r="Z7" i="2"/>
  <c r="R37" i="7"/>
  <c r="Y7" i="2"/>
  <c r="R22" i="7"/>
  <c r="K40" i="2"/>
  <c r="I29" i="2"/>
  <c r="X12" i="2"/>
  <c r="J42" i="2"/>
  <c r="Z15" i="2"/>
  <c r="R41" i="7"/>
  <c r="I48" i="2"/>
  <c r="J39" i="2"/>
  <c r="X6" i="2"/>
  <c r="I23" i="2"/>
  <c r="I38" i="2"/>
  <c r="K47" i="2"/>
  <c r="I31" i="2"/>
  <c r="Q20" i="7"/>
  <c r="F34" i="2"/>
  <c r="K29" i="2"/>
  <c r="I49" i="2"/>
  <c r="J37" i="2"/>
  <c r="Y6" i="2"/>
  <c r="AC16" i="2"/>
  <c r="Q13" i="7" s="1"/>
  <c r="D20" i="8" s="1"/>
  <c r="AD6" i="2"/>
  <c r="R6" i="7"/>
  <c r="H11" i="8"/>
  <c r="E4" i="6"/>
  <c r="AC8" i="2"/>
  <c r="Q8" i="7"/>
  <c r="D13" i="8" s="1"/>
  <c r="C2" i="6"/>
  <c r="R25" i="2"/>
  <c r="B40" i="1"/>
  <c r="C4" i="6"/>
  <c r="V25" i="2"/>
  <c r="D4" i="6"/>
  <c r="V29" i="2"/>
  <c r="AC7" i="2"/>
  <c r="Q7" i="7"/>
  <c r="D12" i="8" s="1"/>
  <c r="AC11" i="2"/>
  <c r="Q15" i="7" s="1"/>
  <c r="D15" i="8" s="1"/>
  <c r="AD5" i="2"/>
  <c r="R5" i="7"/>
  <c r="H10" i="8"/>
  <c r="AD9" i="2"/>
  <c r="AC13" i="2"/>
  <c r="Q10" i="7"/>
  <c r="D17" i="8" s="1"/>
  <c r="AD15" i="2"/>
  <c r="R12" i="7"/>
  <c r="H19" i="8" s="1"/>
  <c r="AD14" i="2"/>
  <c r="R11" i="7"/>
  <c r="H18" i="8" s="1"/>
  <c r="D2" i="6"/>
  <c r="R29" i="2"/>
  <c r="B44" i="1"/>
  <c r="AC15" i="2"/>
  <c r="Q12" i="7"/>
  <c r="D19" i="8" s="1"/>
  <c r="AC6" i="2"/>
  <c r="Q6" i="7" s="1"/>
  <c r="D11" i="8" s="1"/>
  <c r="K34" i="2"/>
  <c r="J34" i="2"/>
  <c r="R19" i="7"/>
  <c r="F9" i="10"/>
  <c r="P44" i="2"/>
  <c r="P46" i="2"/>
  <c r="F9" i="5"/>
  <c r="I34" i="2"/>
  <c r="Q36" i="7"/>
  <c r="F9" i="4"/>
  <c r="P28" i="2"/>
  <c r="P24" i="2"/>
  <c r="F8" i="4"/>
  <c r="Q39" i="7"/>
  <c r="Q23" i="7"/>
  <c r="Q42" i="7"/>
  <c r="I50" i="2"/>
  <c r="R43" i="7"/>
  <c r="Q27" i="7"/>
  <c r="Q38" i="7"/>
  <c r="Q25" i="7"/>
  <c r="Q35" i="7"/>
  <c r="Q22" i="7"/>
  <c r="Q29" i="7"/>
  <c r="F8" i="10"/>
  <c r="F8" i="5"/>
  <c r="P40" i="2"/>
  <c r="P42" i="2"/>
  <c r="Q30" i="7"/>
  <c r="Q24" i="7"/>
  <c r="Q28" i="7"/>
  <c r="J50" i="2"/>
  <c r="K50" i="2"/>
  <c r="R34" i="7"/>
  <c r="Q44" i="7"/>
  <c r="Q34" i="7"/>
  <c r="R21" i="7"/>
  <c r="Q21" i="7"/>
  <c r="Q26" i="7"/>
  <c r="Q41" i="7"/>
  <c r="V33" i="2"/>
  <c r="B48" i="1"/>
  <c r="F10" i="10"/>
  <c r="F10" i="5"/>
  <c r="F10" i="4"/>
  <c r="P26" i="2"/>
  <c r="P30" i="2"/>
  <c r="P48" i="2"/>
  <c r="P32" i="2"/>
  <c r="F9" i="3" l="1"/>
  <c r="P26" i="7"/>
  <c r="AC14" i="2"/>
  <c r="Q11" i="7" s="1"/>
  <c r="D18" i="8" s="1"/>
  <c r="AD16" i="2"/>
  <c r="R13" i="7" s="1"/>
  <c r="H20" i="8" s="1"/>
  <c r="I12" i="2"/>
  <c r="I15" i="2"/>
  <c r="P20" i="7"/>
  <c r="F8" i="11"/>
  <c r="V12" i="2"/>
  <c r="AD12" i="2" s="1"/>
  <c r="I4" i="2"/>
  <c r="I17" i="2" s="1"/>
  <c r="AD7" i="2"/>
  <c r="R7" i="7" s="1"/>
  <c r="H12" i="8" s="1"/>
  <c r="J4" i="2"/>
  <c r="J17" i="2" s="1"/>
  <c r="U12" i="2"/>
  <c r="U4" i="2"/>
  <c r="AC4" i="2"/>
  <c r="B2" i="6"/>
  <c r="R21" i="2" s="1"/>
  <c r="B36" i="1" s="1"/>
  <c r="P19" i="7"/>
  <c r="AC10" i="2"/>
  <c r="Q14" i="7" s="1"/>
  <c r="D14" i="8" s="1"/>
  <c r="P29" i="7"/>
  <c r="P13" i="2"/>
  <c r="J24" i="1" s="1"/>
  <c r="P74" i="2"/>
  <c r="J30" i="1" s="1"/>
  <c r="AC12" i="2"/>
  <c r="Q9" i="7" s="1"/>
  <c r="D16" i="8" s="1"/>
  <c r="P24" i="7"/>
  <c r="B4" i="6"/>
  <c r="V21" i="2" s="1"/>
  <c r="AD4" i="2"/>
  <c r="P34" i="7"/>
  <c r="P9" i="2"/>
  <c r="P70" i="2"/>
  <c r="E30" i="1" s="1"/>
  <c r="K12" i="2"/>
  <c r="K17" i="2" s="1"/>
  <c r="AD13" i="2"/>
  <c r="R10" i="7" s="1"/>
  <c r="H17" i="8" s="1"/>
  <c r="F9" i="11"/>
  <c r="F10" i="11" s="1"/>
  <c r="F8" i="3"/>
  <c r="P43" i="7"/>
  <c r="AD11" i="2"/>
  <c r="R15" i="7" s="1"/>
  <c r="H15" i="8" s="1"/>
  <c r="AD8" i="2"/>
  <c r="R8" i="7" s="1"/>
  <c r="H13" i="8" s="1"/>
  <c r="B32" i="8"/>
  <c r="P34" i="1"/>
  <c r="C9" i="3" l="1"/>
  <c r="C9" i="4" s="1"/>
  <c r="C9" i="5" s="1"/>
  <c r="C9" i="10" s="1"/>
  <c r="E28" i="8"/>
  <c r="C9" i="11"/>
  <c r="F10" i="3"/>
  <c r="E33" i="1"/>
  <c r="E32" i="1"/>
  <c r="J32" i="1" s="1"/>
  <c r="P15" i="2"/>
  <c r="E24" i="1"/>
  <c r="E26" i="1" s="1"/>
  <c r="R4" i="7"/>
  <c r="H9" i="8" s="1"/>
  <c r="H22" i="8" s="1"/>
  <c r="C6" i="6"/>
  <c r="Z25" i="2" s="1"/>
  <c r="G40" i="1" s="1"/>
  <c r="Q4" i="7"/>
  <c r="D9" i="8" s="1"/>
  <c r="D22" i="8" s="1"/>
  <c r="H24" i="8" s="1"/>
  <c r="B6" i="6"/>
  <c r="Z21" i="2" s="1"/>
  <c r="G36" i="1" s="1"/>
  <c r="C8" i="3"/>
  <c r="C8" i="11"/>
  <c r="C10" i="11" l="1"/>
  <c r="C8" i="4"/>
  <c r="C10" i="3"/>
  <c r="C10" i="4" l="1"/>
  <c r="C8" i="5"/>
  <c r="C8" i="10" l="1"/>
  <c r="C10" i="10" s="1"/>
  <c r="C10" i="5"/>
</calcChain>
</file>

<file path=xl/sharedStrings.xml><?xml version="1.0" encoding="utf-8"?>
<sst xmlns="http://schemas.openxmlformats.org/spreadsheetml/2006/main" count="423" uniqueCount="163">
  <si>
    <t>Välkommen till Bokföringsmallen!</t>
  </si>
  <si>
    <t>Hur mallen används</t>
  </si>
  <si>
    <t>Vad</t>
  </si>
  <si>
    <t>Beskrivning</t>
  </si>
  <si>
    <t>Datum</t>
  </si>
  <si>
    <t>v.</t>
  </si>
  <si>
    <t>Konto</t>
  </si>
  <si>
    <t>Belopp</t>
  </si>
  <si>
    <t>Status</t>
  </si>
  <si>
    <t>Termer</t>
  </si>
  <si>
    <t>Event</t>
  </si>
  <si>
    <t>Kärleksveckan, rosor</t>
  </si>
  <si>
    <t>Bank ut</t>
  </si>
  <si>
    <t>Rätt</t>
  </si>
  <si>
    <t>Kassa in</t>
  </si>
  <si>
    <t>Kontanter som ni får in</t>
  </si>
  <si>
    <t>Kassa ut</t>
  </si>
  <si>
    <t>Kontanter ni blir av med</t>
  </si>
  <si>
    <t>Bank in</t>
  </si>
  <si>
    <t>Överföring till ert bankkonto</t>
  </si>
  <si>
    <t>Överföring från ert bankkonto</t>
  </si>
  <si>
    <t>Kassa till Bank</t>
  </si>
  <si>
    <t>Insättning av kontanter</t>
  </si>
  <si>
    <t>Bank till Kassa</t>
  </si>
  <si>
    <t>Uttag av kontanter</t>
  </si>
  <si>
    <t>Ett event ni anordnar med kåren</t>
  </si>
  <si>
    <t>Lobbying</t>
  </si>
  <si>
    <t>Lobbyingverksamhet, för att påverka makthavare eller ex. bidra till välgörenhet</t>
  </si>
  <si>
    <t>Bildning</t>
  </si>
  <si>
    <t>Ex. inhyrning av föreläsare, för att ge era medlemmar kunskap utöver skolan</t>
  </si>
  <si>
    <t>Service</t>
  </si>
  <si>
    <t>Ex. försäljning av kårartiklar, kaffe, fika, och saker som ni gör för att erbjuda era medlemmar god service</t>
  </si>
  <si>
    <t>Föreningar</t>
  </si>
  <si>
    <t>Ex. Bidrag till föreningar, föreningsdagar, pengar som läggs för att främja föreningslivet på skolan</t>
  </si>
  <si>
    <t>Insättning/Uttag</t>
  </si>
  <si>
    <t>Förflyttning av pengar mellan bank och kontantkassa</t>
  </si>
  <si>
    <t>Resor</t>
  </si>
  <si>
    <t>Pengar som går till resor, ex till Upptakt.</t>
  </si>
  <si>
    <t>Kårrum</t>
  </si>
  <si>
    <t>Ex. inköp till kårrummet, hyra eller liknande</t>
  </si>
  <si>
    <t>Bidrag från Sveriges Elevkårer</t>
  </si>
  <si>
    <t>Det årliga bidraget från Sveriges Elevkårer</t>
  </si>
  <si>
    <t>Bidrag från skolan</t>
  </si>
  <si>
    <t>Eventuella bidrag från skolan</t>
  </si>
  <si>
    <t>Övriga bidrag sponsring</t>
  </si>
  <si>
    <t>Eventuella övriga bidrag/sponsring från företag/organisationer</t>
  </si>
  <si>
    <t>Medlemsavgift</t>
  </si>
  <si>
    <t>Om ni tar medlemsavgift</t>
  </si>
  <si>
    <t>Övrigt</t>
  </si>
  <si>
    <t>Om inköpet ej stämmer överens med någon utav ovanstående kategorier, var noga med bra beskrivning</t>
  </si>
  <si>
    <t>Steg för steg</t>
  </si>
  <si>
    <t>Bokföring av inköp</t>
  </si>
  <si>
    <t>Steg 1.</t>
  </si>
  <si>
    <t>Köp produkten och behåll kvittot.</t>
  </si>
  <si>
    <t>Steg 2.</t>
  </si>
  <si>
    <t>Fäst kvittot på en kvittoredovisningsblankett och gå in i bokföringsmallen.</t>
  </si>
  <si>
    <t>Steg 3.</t>
  </si>
  <si>
    <t>Om någon lagt ut privata pengar, anteckna på kvittot ifall det är överfört från kårens konto. Skriv in nästa "v." nummer i listan som är ledigt.</t>
  </si>
  <si>
    <t xml:space="preserve">Steg 4. </t>
  </si>
  <si>
    <t>Välj vilken kategori som produkten ingår i, är det till ett event/försäljning/kårrum etc.</t>
  </si>
  <si>
    <t xml:space="preserve">Steg 5. </t>
  </si>
  <si>
    <t>Skriv in datumet för transaktionen från kåren (ej från den som tidigare lagt ut), om den inte redan betalats kan ni betala direkt och skriva dagens datum.</t>
  </si>
  <si>
    <t>Steg 6.</t>
  </si>
  <si>
    <t>Fyll i konto, tar ni pengar från kontantkassan eller bankkontot? Är det en insättning eller uttag?</t>
  </si>
  <si>
    <t>Steg 7.</t>
  </si>
  <si>
    <t>Fyll i beloppet som kåren ska betala, får ej va högre än det angivet på kvittot.</t>
  </si>
  <si>
    <t>Steg 8.</t>
  </si>
  <si>
    <t>Dubbelkolla så att allt är rätt.</t>
  </si>
  <si>
    <t>Eget kapital</t>
  </si>
  <si>
    <t>Resultat</t>
  </si>
  <si>
    <t>Bankkonto</t>
  </si>
  <si>
    <t>Intäkter</t>
  </si>
  <si>
    <t>Handkassa</t>
  </si>
  <si>
    <t>Utgifter</t>
  </si>
  <si>
    <t>Totalt</t>
  </si>
  <si>
    <t>Föreningar/Utskott</t>
  </si>
  <si>
    <t>Sektionsdag bidrag</t>
  </si>
  <si>
    <t>Bidrag</t>
  </si>
  <si>
    <t>Komiker</t>
  </si>
  <si>
    <t>Alla Hjärtans dag- rosor</t>
  </si>
  <si>
    <t>Inköp av provkollektion</t>
  </si>
  <si>
    <t>Biljettintäkter SpringParty</t>
  </si>
  <si>
    <t>Prideflagga</t>
  </si>
  <si>
    <t>Intäkter skolkatalog</t>
  </si>
  <si>
    <t>Kickback studentmössor</t>
  </si>
  <si>
    <t>Föreläsare Victor Lundin</t>
  </si>
  <si>
    <t>Inköp av tejp</t>
  </si>
  <si>
    <t xml:space="preserve">Insättning av kontanter </t>
  </si>
  <si>
    <t>Resekostnad Upptakt</t>
  </si>
  <si>
    <t>Reseersättning</t>
  </si>
  <si>
    <t>Skolan betalade för mycket</t>
  </si>
  <si>
    <t>Bokföring</t>
  </si>
  <si>
    <t>Antal fel i bokföringen</t>
  </si>
  <si>
    <t>Bokföring 1</t>
  </si>
  <si>
    <t>Bokföring 2</t>
  </si>
  <si>
    <t>Bokföring 3</t>
  </si>
  <si>
    <t>Bokföring 4</t>
  </si>
  <si>
    <t>Elevkår</t>
  </si>
  <si>
    <t>Organisationsnummer</t>
  </si>
  <si>
    <t>Ansvarig</t>
  </si>
  <si>
    <t>Kontonummer</t>
  </si>
  <si>
    <t>Redovisningsår</t>
  </si>
  <si>
    <t>Översikt</t>
  </si>
  <si>
    <t>Inför bokslut</t>
  </si>
  <si>
    <t>Har ni några obetalda fakturor/skulder inför nästa redovisningsår? Ja/Nej</t>
  </si>
  <si>
    <t>Nej</t>
  </si>
  <si>
    <t>Ingående banksaldo</t>
  </si>
  <si>
    <t>Ingående handkassa</t>
  </si>
  <si>
    <t>Totalt ingående kapital</t>
  </si>
  <si>
    <t>Isåfall på hur mycket?</t>
  </si>
  <si>
    <t xml:space="preserve"> Totala intäkter</t>
  </si>
  <si>
    <t>Totala kostnader</t>
  </si>
  <si>
    <t>Har ni något inventarie ex. osålda kårtröjor och liknande? Ja/Nej</t>
  </si>
  <si>
    <t>Årets resultat</t>
  </si>
  <si>
    <t>Isåfall vad är deras värde?</t>
  </si>
  <si>
    <t>Utgående banksaldo</t>
  </si>
  <si>
    <t>Utgående handkassa</t>
  </si>
  <si>
    <t>Totalt eget kapital</t>
  </si>
  <si>
    <t>Procentuell förändring</t>
  </si>
  <si>
    <t>Totalt eget kapital inkl inventarie</t>
  </si>
  <si>
    <t>Bokslut</t>
  </si>
  <si>
    <t>Resultatsräkning</t>
  </si>
  <si>
    <t>Bidrag Sveriges Elevkårer</t>
  </si>
  <si>
    <t>Övriga bidrag/sponsring</t>
  </si>
  <si>
    <t>Totala Intäkter</t>
  </si>
  <si>
    <t>Årets Resultat</t>
  </si>
  <si>
    <t>Balansräkning</t>
  </si>
  <si>
    <t>Skulder</t>
  </si>
  <si>
    <t>Tillgångar</t>
  </si>
  <si>
    <t>Ekonomiansvarig/Kassör</t>
  </si>
  <si>
    <t>Namnförtydligande</t>
  </si>
  <si>
    <t>Kostnader</t>
  </si>
  <si>
    <t>INTÄKTER</t>
  </si>
  <si>
    <t>Sveriges Elevkårer</t>
  </si>
  <si>
    <t>Bidrag skolan</t>
  </si>
  <si>
    <t>Övriga bidrag</t>
  </si>
  <si>
    <t>KOSTNADER</t>
  </si>
  <si>
    <t>Kategorisering &amp; Bokföring 1</t>
  </si>
  <si>
    <t>Kassa</t>
  </si>
  <si>
    <t>Bank</t>
  </si>
  <si>
    <t>Första sidans sammanfattning</t>
  </si>
  <si>
    <t>Totala bankintäkter</t>
  </si>
  <si>
    <t>Totala kassaintäkter</t>
  </si>
  <si>
    <t>Totala intäkter</t>
  </si>
  <si>
    <t>Totala bankutgifter</t>
  </si>
  <si>
    <t>Totala kassautgifter</t>
  </si>
  <si>
    <t>Totala utgifter</t>
  </si>
  <si>
    <t>Totalt resultat</t>
  </si>
  <si>
    <t>TOTALT</t>
  </si>
  <si>
    <t>Konton</t>
  </si>
  <si>
    <t>Andra sidans sammanfattning</t>
  </si>
  <si>
    <t>Tredje sidans sammanfattning</t>
  </si>
  <si>
    <t>Fjärde sidans sammanfattning</t>
  </si>
  <si>
    <t>Totala Bankintäkter</t>
  </si>
  <si>
    <t>Totala Kassaintäkter</t>
  </si>
  <si>
    <t>Totala Bankutgifter</t>
  </si>
  <si>
    <t>Totala Kassautgifter</t>
  </si>
  <si>
    <t>Maxintäkter</t>
  </si>
  <si>
    <t>Maxkostnad</t>
  </si>
  <si>
    <t>Intäkt</t>
  </si>
  <si>
    <t>Kostnad</t>
  </si>
  <si>
    <t>Ja</t>
  </si>
  <si>
    <t xml:space="preserve">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</si>
</sst>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.00\ [$kr-41D]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333843"/>
      <name val="Arial"/>
      <family val="2"/>
    </font>
    <font>
      <sz val="9"/>
      <color theme="1"/>
      <name val="Calibri"/>
      <family val="2"/>
      <scheme val="minor"/>
    </font>
    <font>
      <sz val="9"/>
      <color rgb="FF333843"/>
      <name val="Arial"/>
      <family val="2"/>
    </font>
    <font>
      <sz val="8"/>
      <name val="Calibri"/>
      <family val="2"/>
      <scheme val="minor"/>
    </font>
    <font>
      <b/>
      <sz val="2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28"/>
      <color theme="1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0" tint="-0.249977111117893"/>
      <name val="Arial"/>
      <family val="2"/>
    </font>
    <font>
      <b/>
      <i/>
      <u/>
      <sz val="16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4" fontId="0" fillId="3" borderId="0" xfId="0" applyNumberFormat="1" applyFill="1"/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164" fontId="1" fillId="5" borderId="0" xfId="0" applyNumberFormat="1" applyFont="1" applyFill="1"/>
    <xf numFmtId="0" fontId="4" fillId="6" borderId="0" xfId="0" applyFont="1" applyFill="1"/>
    <xf numFmtId="164" fontId="0" fillId="5" borderId="0" xfId="0" applyNumberFormat="1" applyFill="1"/>
    <xf numFmtId="0" fontId="1" fillId="5" borderId="0" xfId="0" applyFont="1" applyFill="1" applyAlignment="1">
      <alignment horizontal="right" vertical="center"/>
    </xf>
    <xf numFmtId="164" fontId="0" fillId="6" borderId="0" xfId="0" applyNumberFormat="1" applyFill="1"/>
    <xf numFmtId="164" fontId="0" fillId="2" borderId="0" xfId="0" applyNumberFormat="1" applyFill="1"/>
    <xf numFmtId="0" fontId="3" fillId="2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0" fillId="0" borderId="0" xfId="0" applyNumberFormat="1"/>
    <xf numFmtId="0" fontId="7" fillId="3" borderId="0" xfId="0" applyFont="1" applyFill="1" applyAlignment="1">
      <alignment vertical="center" wrapText="1"/>
    </xf>
    <xf numFmtId="164" fontId="3" fillId="5" borderId="0" xfId="0" applyNumberFormat="1" applyFont="1" applyFill="1"/>
    <xf numFmtId="164" fontId="0" fillId="5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12" fillId="3" borderId="0" xfId="0" applyFont="1" applyFill="1"/>
    <xf numFmtId="0" fontId="12" fillId="9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/>
    <xf numFmtId="0" fontId="17" fillId="2" borderId="0" xfId="0" applyFont="1" applyFill="1"/>
    <xf numFmtId="0" fontId="12" fillId="9" borderId="5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/>
    <xf numFmtId="0" fontId="13" fillId="5" borderId="0" xfId="0" applyFont="1" applyFill="1" applyAlignment="1">
      <alignment horizontal="center"/>
    </xf>
    <xf numFmtId="0" fontId="12" fillId="9" borderId="5" xfId="0" applyFont="1" applyFill="1" applyBorder="1" applyAlignment="1" applyProtection="1">
      <alignment horizontal="center"/>
      <protection locked="0"/>
    </xf>
    <xf numFmtId="0" fontId="13" fillId="5" borderId="0" xfId="0" applyFont="1" applyFill="1"/>
    <xf numFmtId="0" fontId="21" fillId="3" borderId="1" xfId="0" applyFont="1" applyFill="1" applyBorder="1"/>
    <xf numFmtId="0" fontId="12" fillId="4" borderId="0" xfId="0" applyFont="1" applyFill="1"/>
    <xf numFmtId="0" fontId="22" fillId="3" borderId="0" xfId="0" applyFont="1" applyFill="1" applyAlignment="1">
      <alignment vertical="top"/>
    </xf>
    <xf numFmtId="0" fontId="23" fillId="3" borderId="0" xfId="0" applyFont="1" applyFill="1"/>
    <xf numFmtId="0" fontId="13" fillId="8" borderId="8" xfId="0" applyFont="1" applyFill="1" applyBorder="1" applyAlignment="1">
      <alignment horizontal="left"/>
    </xf>
    <xf numFmtId="0" fontId="13" fillId="8" borderId="8" xfId="0" applyFont="1" applyFill="1" applyBorder="1"/>
    <xf numFmtId="0" fontId="24" fillId="3" borderId="0" xfId="0" applyFont="1" applyFill="1" applyAlignment="1">
      <alignment horizontal="right"/>
    </xf>
    <xf numFmtId="0" fontId="12" fillId="3" borderId="8" xfId="0" applyFont="1" applyFill="1" applyBorder="1"/>
    <xf numFmtId="14" fontId="12" fillId="3" borderId="8" xfId="0" applyNumberFormat="1" applyFont="1" applyFill="1" applyBorder="1"/>
    <xf numFmtId="0" fontId="12" fillId="5" borderId="8" xfId="0" applyFont="1" applyFill="1" applyBorder="1"/>
    <xf numFmtId="164" fontId="12" fillId="3" borderId="8" xfId="0" applyNumberFormat="1" applyFont="1" applyFill="1" applyBorder="1"/>
    <xf numFmtId="0" fontId="25" fillId="3" borderId="0" xfId="0" applyFont="1" applyFill="1" applyAlignment="1">
      <alignment horizontal="right" indent="1"/>
    </xf>
    <xf numFmtId="0" fontId="26" fillId="3" borderId="0" xfId="0" applyFont="1" applyFill="1"/>
    <xf numFmtId="0" fontId="15" fillId="3" borderId="0" xfId="0" applyFont="1" applyFill="1" applyAlignment="1">
      <alignment horizontal="right" indent="1"/>
    </xf>
    <xf numFmtId="0" fontId="27" fillId="3" borderId="0" xfId="0" applyFont="1" applyFill="1"/>
    <xf numFmtId="0" fontId="12" fillId="2" borderId="0" xfId="0" applyFont="1" applyFill="1" applyAlignment="1">
      <alignment horizontal="right" indent="1"/>
    </xf>
    <xf numFmtId="165" fontId="17" fillId="5" borderId="0" xfId="0" applyNumberFormat="1" applyFont="1" applyFill="1" applyAlignment="1">
      <alignment horizontal="center"/>
    </xf>
    <xf numFmtId="165" fontId="12" fillId="5" borderId="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indent="6"/>
    </xf>
    <xf numFmtId="165" fontId="12" fillId="5" borderId="0" xfId="0" applyNumberFormat="1" applyFont="1" applyFill="1" applyAlignment="1">
      <alignment horizontal="center"/>
    </xf>
    <xf numFmtId="0" fontId="12" fillId="8" borderId="0" xfId="0" applyFont="1" applyFill="1" applyAlignment="1">
      <alignment horizontal="left"/>
    </xf>
    <xf numFmtId="0" fontId="12" fillId="8" borderId="0" xfId="0" applyFont="1" applyFill="1"/>
    <xf numFmtId="0" fontId="12" fillId="3" borderId="0" xfId="0" applyFont="1" applyFill="1" applyProtection="1">
      <protection locked="0"/>
    </xf>
    <xf numFmtId="14" fontId="12" fillId="3" borderId="0" xfId="0" applyNumberFormat="1" applyFont="1" applyFill="1" applyProtection="1">
      <protection locked="0"/>
    </xf>
    <xf numFmtId="164" fontId="12" fillId="3" borderId="0" xfId="0" applyNumberFormat="1" applyFont="1" applyFill="1" applyProtection="1">
      <protection locked="0"/>
    </xf>
    <xf numFmtId="0" fontId="12" fillId="3" borderId="0" xfId="0" applyFont="1" applyFill="1" applyAlignment="1">
      <alignment vertical="center"/>
    </xf>
    <xf numFmtId="14" fontId="29" fillId="3" borderId="0" xfId="0" applyNumberFormat="1" applyFont="1" applyFill="1" applyAlignment="1">
      <alignment horizontal="left" vertical="top"/>
    </xf>
    <xf numFmtId="0" fontId="13" fillId="3" borderId="0" xfId="0" applyFont="1" applyFill="1"/>
    <xf numFmtId="0" fontId="20" fillId="3" borderId="0" xfId="0" applyFont="1" applyFill="1" applyAlignment="1">
      <alignment horizontal="right" vertical="center"/>
    </xf>
    <xf numFmtId="165" fontId="12" fillId="2" borderId="0" xfId="0" applyNumberFormat="1" applyFont="1" applyFill="1"/>
    <xf numFmtId="165" fontId="12" fillId="3" borderId="0" xfId="0" applyNumberFormat="1" applyFont="1" applyFill="1"/>
    <xf numFmtId="0" fontId="31" fillId="3" borderId="0" xfId="0" applyFont="1" applyFill="1" applyAlignment="1">
      <alignment horizontal="right" vertical="center"/>
    </xf>
    <xf numFmtId="0" fontId="32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horizontal="right" vertic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64" fontId="12" fillId="2" borderId="0" xfId="0" applyNumberFormat="1" applyFont="1" applyFill="1"/>
    <xf numFmtId="0" fontId="12" fillId="3" borderId="0" xfId="0" applyFont="1" applyFill="1" applyAlignment="1">
      <alignment horizontal="right"/>
    </xf>
    <xf numFmtId="0" fontId="34" fillId="3" borderId="0" xfId="0" applyFont="1" applyFill="1" applyAlignment="1">
      <alignment vertical="center"/>
    </xf>
    <xf numFmtId="0" fontId="22" fillId="3" borderId="0" xfId="0" applyFont="1" applyFill="1" applyAlignment="1">
      <alignment horizontal="left" wrapText="1"/>
    </xf>
    <xf numFmtId="0" fontId="22" fillId="3" borderId="0" xfId="0" applyFont="1" applyFill="1" applyAlignment="1">
      <alignment horizontal="left" vertical="top"/>
    </xf>
    <xf numFmtId="165" fontId="12" fillId="5" borderId="1" xfId="0" applyNumberFormat="1" applyFont="1" applyFill="1" applyBorder="1" applyAlignment="1">
      <alignment horizontal="center"/>
    </xf>
    <xf numFmtId="0" fontId="28" fillId="7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indent="6"/>
    </xf>
    <xf numFmtId="165" fontId="12" fillId="5" borderId="0" xfId="0" applyNumberFormat="1" applyFont="1" applyFill="1" applyAlignment="1">
      <alignment horizontal="center"/>
    </xf>
    <xf numFmtId="165" fontId="12" fillId="5" borderId="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9" borderId="0" xfId="0" applyFont="1" applyFill="1" applyAlignment="1">
      <alignment horizontal="center" vertical="center" wrapText="1"/>
    </xf>
    <xf numFmtId="164" fontId="12" fillId="6" borderId="0" xfId="0" applyNumberFormat="1" applyFont="1" applyFill="1" applyAlignment="1">
      <alignment horizontal="center"/>
    </xf>
    <xf numFmtId="164" fontId="17" fillId="3" borderId="0" xfId="0" applyNumberFormat="1" applyFont="1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left" indent="1"/>
      <protection locked="0"/>
    </xf>
    <xf numFmtId="0" fontId="18" fillId="2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 applyProtection="1">
      <alignment horizontal="center"/>
      <protection locked="0"/>
    </xf>
    <xf numFmtId="165" fontId="12" fillId="2" borderId="7" xfId="0" applyNumberFormat="1" applyFont="1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/>
    </xf>
    <xf numFmtId="9" fontId="12" fillId="6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6" fillId="4" borderId="0" xfId="0" applyFont="1" applyFill="1" applyAlignment="1">
      <alignment horizontal="center" vertical="center"/>
    </xf>
    <xf numFmtId="49" fontId="12" fillId="3" borderId="0" xfId="0" applyNumberFormat="1" applyFont="1" applyFill="1" applyAlignment="1" applyProtection="1">
      <alignment horizontal="left" indent="1"/>
      <protection locked="0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25" fillId="2" borderId="0" xfId="0" applyFont="1" applyFill="1" applyAlignment="1">
      <alignment horizontal="left" indent="1"/>
    </xf>
    <xf numFmtId="165" fontId="12" fillId="9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57">
    <dxf>
      <fill>
        <patternFill>
          <bgColor rgb="FFFFFF00"/>
        </patternFill>
      </fill>
    </dxf>
    <dxf>
      <fill>
        <patternFill>
          <bgColor rgb="FFFF7757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#,##0.00\ &quot;kr&quot;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#,##0.00\ &quot;kr&quot;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#,##0.00\ &quot;kr&quot;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#,##0.00\ &quot;kr&quot;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rgb="FFFF7C80"/>
      </font>
      <fill>
        <patternFill>
          <bgColor rgb="FFFF7C8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#,##0.00\ &quot;kr&quot;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colors>
    <mruColors>
      <color rgb="FFFF7C80"/>
      <color rgb="FFFF7757"/>
      <color rgb="FFFF572F"/>
      <color rgb="FFFF8585"/>
      <color rgb="FFFF9F89"/>
      <color rgb="FFFF3300"/>
      <color rgb="FFFF9393"/>
      <color rgb="FFFFA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shade val="40000"/>
                      <a:lumMod val="60000"/>
                      <a:lumOff val="40000"/>
                    </a:schemeClr>
                  </a:gs>
                  <a:gs pos="0">
                    <a:schemeClr val="accent2">
                      <a:shade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17-4B7C-82F3-75DD2AAB151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shade val="51000"/>
                      <a:lumMod val="60000"/>
                      <a:lumOff val="40000"/>
                    </a:schemeClr>
                  </a:gs>
                  <a:gs pos="0">
                    <a:schemeClr val="accent2">
                      <a:shade val="51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17-4B7C-82F3-75DD2AAB151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2">
                      <a:shade val="62000"/>
                      <a:lumMod val="60000"/>
                      <a:lumOff val="40000"/>
                    </a:schemeClr>
                  </a:gs>
                  <a:gs pos="0">
                    <a:schemeClr val="accent2">
                      <a:shade val="6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17-4B7C-82F3-75DD2AAB151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shade val="73000"/>
                      <a:lumMod val="60000"/>
                      <a:lumOff val="40000"/>
                    </a:schemeClr>
                  </a:gs>
                  <a:gs pos="0">
                    <a:schemeClr val="accent2">
                      <a:shade val="7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17-4B7C-82F3-75DD2AAB151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2">
                      <a:shade val="83000"/>
                      <a:lumMod val="60000"/>
                      <a:lumOff val="40000"/>
                    </a:schemeClr>
                  </a:gs>
                  <a:gs pos="0">
                    <a:schemeClr val="accent2">
                      <a:shade val="8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17-4B7C-82F3-75DD2AAB151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2">
                      <a:shade val="94000"/>
                      <a:lumMod val="60000"/>
                      <a:lumOff val="40000"/>
                    </a:schemeClr>
                  </a:gs>
                  <a:gs pos="0">
                    <a:schemeClr val="accent2">
                      <a:shade val="9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17-4B7C-82F3-75DD2AAB151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tint val="95000"/>
                      <a:lumMod val="60000"/>
                      <a:lumOff val="40000"/>
                    </a:schemeClr>
                  </a:gs>
                  <a:gs pos="0">
                    <a:schemeClr val="accent2">
                      <a:tint val="9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17-4B7C-82F3-75DD2AAB151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tint val="84000"/>
                      <a:lumMod val="60000"/>
                      <a:lumOff val="40000"/>
                    </a:schemeClr>
                  </a:gs>
                  <a:gs pos="0">
                    <a:schemeClr val="accent2">
                      <a:tint val="8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17-4B7C-82F3-75DD2AAB151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2">
                      <a:tint val="74000"/>
                      <a:lumMod val="60000"/>
                      <a:lumOff val="40000"/>
                    </a:schemeClr>
                  </a:gs>
                  <a:gs pos="0">
                    <a:schemeClr val="accent2">
                      <a:tint val="7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17-4B7C-82F3-75DD2AAB151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2">
                      <a:tint val="63000"/>
                      <a:lumMod val="60000"/>
                      <a:lumOff val="40000"/>
                    </a:schemeClr>
                  </a:gs>
                  <a:gs pos="0">
                    <a:schemeClr val="accent2">
                      <a:tint val="6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17-4B7C-82F3-75DD2AAB151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2">
                      <a:tint val="52000"/>
                      <a:lumMod val="60000"/>
                      <a:lumOff val="40000"/>
                    </a:schemeClr>
                  </a:gs>
                  <a:gs pos="0">
                    <a:schemeClr val="accent2">
                      <a:tint val="5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17-4B7C-82F3-75DD2AAB151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2">
                      <a:tint val="41000"/>
                      <a:lumMod val="60000"/>
                      <a:lumOff val="40000"/>
                    </a:schemeClr>
                  </a:gs>
                  <a:gs pos="0">
                    <a:schemeClr val="accent2">
                      <a:tint val="41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F17-4B7C-82F3-75DD2AAB1510}"/>
              </c:ext>
            </c:extLst>
          </c:dPt>
          <c:cat>
            <c:strRef>
              <c:f>Statistik!$P$4:$P$15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</c:v>
                </c:pt>
                <c:pt idx="5">
                  <c:v>Bidrag från Sveriges Elevkårer</c:v>
                </c:pt>
                <c:pt idx="6">
                  <c:v>Bidrag från skolan</c:v>
                </c:pt>
                <c:pt idx="7">
                  <c:v>Övriga bidrag/sponsring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Statistik!$R$4:$R$15</c:f>
              <c:numCache>
                <c:formatCode>#,##0.00\ "kr"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F17-4B7C-82F3-75DD2AAB1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780048421388"/>
          <c:y val="1.2073640504308016E-2"/>
          <c:w val="0.31614705808288235"/>
          <c:h val="0.9879263594956918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v-SE"/>
              <a:t>Intäkter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doughnutChart>
        <c:varyColors val="0"/>
        <c:ser>
          <c:idx val="0"/>
          <c:order val="0"/>
          <c:spPr>
            <a:gradFill>
              <a:gsLst>
                <a:gs pos="100000">
                  <a:schemeClr val="accent6">
                    <a:lumMod val="60000"/>
                    <a:lumOff val="40000"/>
                  </a:schemeClr>
                </a:gs>
                <a:gs pos="0">
                  <a:schemeClr val="accent6"/>
                </a:gs>
              </a:gsLst>
              <a:lin ang="5400000" scaled="0"/>
            </a:gradFill>
            <a:ln w="19050">
              <a:solidFill>
                <a:schemeClr val="lt1"/>
              </a:solidFill>
            </a:ln>
            <a:effectLst/>
          </c:spPr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D-4E1D-9A32-A0D0FEF8B03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7D-4E1D-9A32-A0D0FEF8B03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7D-4E1D-9A32-A0D0FEF8B03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7D-4E1D-9A32-A0D0FEF8B03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7D-4E1D-9A32-A0D0FEF8B03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7D-4E1D-9A32-A0D0FEF8B03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7D-4E1D-9A32-A0D0FEF8B03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7D-4E1D-9A32-A0D0FEF8B03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7D-4E1D-9A32-A0D0FEF8B03A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57D-4E1D-9A32-A0D0FEF8B03A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57D-4E1D-9A32-A0D0FEF8B03A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57D-4E1D-9A32-A0D0FEF8B03A}"/>
              </c:ext>
            </c:extLst>
          </c:dPt>
          <c:cat>
            <c:strRef>
              <c:f>Statistik!$P$4:$P$15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</c:v>
                </c:pt>
                <c:pt idx="5">
                  <c:v>Bidrag från Sveriges Elevkårer</c:v>
                </c:pt>
                <c:pt idx="6">
                  <c:v>Bidrag från skolan</c:v>
                </c:pt>
                <c:pt idx="7">
                  <c:v>Övriga bidrag/sponsring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Statistik!$Q$4:$Q$15</c:f>
              <c:numCache>
                <c:formatCode>#,##0.00\ "kr"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57D-4E1D-9A32-A0D0FEF8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44808600809455"/>
          <c:y val="4.5328634926091842E-2"/>
          <c:w val="0.33801301157564578"/>
          <c:h val="0.9149844192980031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Intäkter jämfört bokföringarna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Statistik!$P$18</c:f>
              <c:strCache>
                <c:ptCount val="1"/>
                <c:pt idx="0">
                  <c:v>Bokföring 1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Statistik!$O$19:$O$30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Sveriges Elevkårer</c:v>
                </c:pt>
                <c:pt idx="6">
                  <c:v>Bidrag skolan</c:v>
                </c:pt>
                <c:pt idx="7">
                  <c:v>Övriga bidrag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Statistik!$P$19:$P$30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A-4E87-A75B-11E643726962}"/>
            </c:ext>
          </c:extLst>
        </c:ser>
        <c:ser>
          <c:idx val="1"/>
          <c:order val="1"/>
          <c:tx>
            <c:strRef>
              <c:f>Statistik!$Q$18</c:f>
              <c:strCache>
                <c:ptCount val="1"/>
                <c:pt idx="0">
                  <c:v>Bokföring 2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Statistik!$O$19:$O$30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Sveriges Elevkårer</c:v>
                </c:pt>
                <c:pt idx="6">
                  <c:v>Bidrag skolan</c:v>
                </c:pt>
                <c:pt idx="7">
                  <c:v>Övriga bidrag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Statistik!$Q$19:$Q$30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A-4E87-A75B-11E643726962}"/>
            </c:ext>
          </c:extLst>
        </c:ser>
        <c:ser>
          <c:idx val="2"/>
          <c:order val="2"/>
          <c:tx>
            <c:strRef>
              <c:f>Statistik!$R$18</c:f>
              <c:strCache>
                <c:ptCount val="1"/>
                <c:pt idx="0">
                  <c:v>Bokföring 3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Statistik!$O$19:$O$30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Sveriges Elevkårer</c:v>
                </c:pt>
                <c:pt idx="6">
                  <c:v>Bidrag skolan</c:v>
                </c:pt>
                <c:pt idx="7">
                  <c:v>Övriga bidrag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Statistik!$R$19:$R$30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A-4E87-A75B-11E643726962}"/>
            </c:ext>
          </c:extLst>
        </c:ser>
        <c:ser>
          <c:idx val="3"/>
          <c:order val="3"/>
          <c:tx>
            <c:strRef>
              <c:f>Statistik!$S$18</c:f>
              <c:strCache>
                <c:ptCount val="1"/>
                <c:pt idx="0">
                  <c:v>Bokföring 4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Statistik!$O$19:$O$30</c:f>
              <c:strCache>
                <c:ptCount val="12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Sveriges Elevkårer</c:v>
                </c:pt>
                <c:pt idx="6">
                  <c:v>Bidrag skolan</c:v>
                </c:pt>
                <c:pt idx="7">
                  <c:v>Övriga bidrag</c:v>
                </c:pt>
                <c:pt idx="8">
                  <c:v>Medlemsavgift</c:v>
                </c:pt>
                <c:pt idx="9">
                  <c:v>Övrigt</c:v>
                </c:pt>
                <c:pt idx="10">
                  <c:v>Resor</c:v>
                </c:pt>
                <c:pt idx="11">
                  <c:v>Kårrum</c:v>
                </c:pt>
              </c:strCache>
            </c:strRef>
          </c:cat>
          <c:val>
            <c:numRef>
              <c:f>Statistik!$S$19:$S$30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E-5E4E-A426-E3A6A32A2C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4325328"/>
        <c:axId val="604322976"/>
      </c:barChart>
      <c:catAx>
        <c:axId val="60432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322976"/>
        <c:crosses val="autoZero"/>
        <c:auto val="1"/>
        <c:lblAlgn val="ctr"/>
        <c:lblOffset val="100"/>
        <c:noMultiLvlLbl val="0"/>
      </c:catAx>
      <c:valAx>
        <c:axId val="6043229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432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Kostnader jämfört bokföringarna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Statistik!$P$33</c:f>
              <c:strCache>
                <c:ptCount val="1"/>
                <c:pt idx="0">
                  <c:v>Bokföring 1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Statistik!$O$34:$O$44</c:f>
              <c:strCache>
                <c:ptCount val="11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Bidrag skolan</c:v>
                </c:pt>
                <c:pt idx="6">
                  <c:v>Övriga bidrag</c:v>
                </c:pt>
                <c:pt idx="7">
                  <c:v>Medlemsavgift</c:v>
                </c:pt>
                <c:pt idx="8">
                  <c:v>Övrigt</c:v>
                </c:pt>
                <c:pt idx="9">
                  <c:v>Resor</c:v>
                </c:pt>
                <c:pt idx="10">
                  <c:v>Kårrum</c:v>
                </c:pt>
              </c:strCache>
            </c:strRef>
          </c:cat>
          <c:val>
            <c:numRef>
              <c:f>Statistik!$P$34:$P$44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BB7-9B33-D55D13D88B54}"/>
            </c:ext>
          </c:extLst>
        </c:ser>
        <c:ser>
          <c:idx val="1"/>
          <c:order val="1"/>
          <c:tx>
            <c:strRef>
              <c:f>Statistik!$Q$33</c:f>
              <c:strCache>
                <c:ptCount val="1"/>
                <c:pt idx="0">
                  <c:v>Bokföring 2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Statistik!$O$34:$O$44</c:f>
              <c:strCache>
                <c:ptCount val="11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Bidrag skolan</c:v>
                </c:pt>
                <c:pt idx="6">
                  <c:v>Övriga bidrag</c:v>
                </c:pt>
                <c:pt idx="7">
                  <c:v>Medlemsavgift</c:v>
                </c:pt>
                <c:pt idx="8">
                  <c:v>Övrigt</c:v>
                </c:pt>
                <c:pt idx="9">
                  <c:v>Resor</c:v>
                </c:pt>
                <c:pt idx="10">
                  <c:v>Kårrum</c:v>
                </c:pt>
              </c:strCache>
            </c:strRef>
          </c:cat>
          <c:val>
            <c:numRef>
              <c:f>Statistik!$Q$34:$Q$44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BB7-9B33-D55D13D88B54}"/>
            </c:ext>
          </c:extLst>
        </c:ser>
        <c:ser>
          <c:idx val="2"/>
          <c:order val="2"/>
          <c:tx>
            <c:strRef>
              <c:f>Statistik!$R$33</c:f>
              <c:strCache>
                <c:ptCount val="1"/>
                <c:pt idx="0">
                  <c:v>Bokföring 3</c:v>
                </c:pt>
              </c:strCache>
            </c:strRef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Statistik!$O$34:$O$44</c:f>
              <c:strCache>
                <c:ptCount val="11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Bidrag skolan</c:v>
                </c:pt>
                <c:pt idx="6">
                  <c:v>Övriga bidrag</c:v>
                </c:pt>
                <c:pt idx="7">
                  <c:v>Medlemsavgift</c:v>
                </c:pt>
                <c:pt idx="8">
                  <c:v>Övrigt</c:v>
                </c:pt>
                <c:pt idx="9">
                  <c:v>Resor</c:v>
                </c:pt>
                <c:pt idx="10">
                  <c:v>Kårrum</c:v>
                </c:pt>
              </c:strCache>
            </c:strRef>
          </c:cat>
          <c:val>
            <c:numRef>
              <c:f>Statistik!$R$34:$R$44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7-4BB7-9B33-D55D13D88B54}"/>
            </c:ext>
          </c:extLst>
        </c:ser>
        <c:ser>
          <c:idx val="3"/>
          <c:order val="3"/>
          <c:tx>
            <c:strRef>
              <c:f>Statistik!$S$33</c:f>
              <c:strCache>
                <c:ptCount val="1"/>
                <c:pt idx="0">
                  <c:v>Bokföring 4</c:v>
                </c:pt>
              </c:strCache>
            </c:strRef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Statistik!$O$34:$O$44</c:f>
              <c:strCache>
                <c:ptCount val="11"/>
                <c:pt idx="0">
                  <c:v>Event</c:v>
                </c:pt>
                <c:pt idx="1">
                  <c:v>Lobbying</c:v>
                </c:pt>
                <c:pt idx="2">
                  <c:v>Bildning</c:v>
                </c:pt>
                <c:pt idx="3">
                  <c:v>Service</c:v>
                </c:pt>
                <c:pt idx="4">
                  <c:v>Föreningar/Utskott</c:v>
                </c:pt>
                <c:pt idx="5">
                  <c:v>Bidrag skolan</c:v>
                </c:pt>
                <c:pt idx="6">
                  <c:v>Övriga bidrag</c:v>
                </c:pt>
                <c:pt idx="7">
                  <c:v>Medlemsavgift</c:v>
                </c:pt>
                <c:pt idx="8">
                  <c:v>Övrigt</c:v>
                </c:pt>
                <c:pt idx="9">
                  <c:v>Resor</c:v>
                </c:pt>
                <c:pt idx="10">
                  <c:v>Kårrum</c:v>
                </c:pt>
              </c:strCache>
            </c:strRef>
          </c:cat>
          <c:val>
            <c:numRef>
              <c:f>Statistik!$S$34:$S$44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5-D849-A608-BD2F2BDB72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49164000"/>
        <c:axId val="949169576"/>
      </c:barChart>
      <c:catAx>
        <c:axId val="94916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169576"/>
        <c:crosses val="autoZero"/>
        <c:auto val="1"/>
        <c:lblAlgn val="ctr"/>
        <c:lblOffset val="100"/>
        <c:noMultiLvlLbl val="0"/>
      </c:catAx>
      <c:valAx>
        <c:axId val="949169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491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12</xdr:row>
      <xdr:rowOff>186267</xdr:rowOff>
    </xdr:from>
    <xdr:to>
      <xdr:col>13</xdr:col>
      <xdr:colOff>126948</xdr:colOff>
      <xdr:row>31</xdr:row>
      <xdr:rowOff>160520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7A2317-1329-F942-ACD4-896721672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400" y="3149600"/>
          <a:ext cx="8986256" cy="4520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420635</xdr:colOff>
      <xdr:row>0</xdr:row>
      <xdr:rowOff>130984</xdr:rowOff>
    </xdr:from>
    <xdr:to>
      <xdr:col>13</xdr:col>
      <xdr:colOff>152400</xdr:colOff>
      <xdr:row>19</xdr:row>
      <xdr:rowOff>50797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33865</xdr:colOff>
      <xdr:row>0</xdr:row>
      <xdr:rowOff>135467</xdr:rowOff>
    </xdr:from>
    <xdr:to>
      <xdr:col>6</xdr:col>
      <xdr:colOff>423332</xdr:colOff>
      <xdr:row>19</xdr:row>
      <xdr:rowOff>52917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54042</xdr:rowOff>
    </xdr:from>
    <xdr:to>
      <xdr:col>13</xdr:col>
      <xdr:colOff>152399</xdr:colOff>
      <xdr:row>42</xdr:row>
      <xdr:rowOff>84666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48958</xdr:rowOff>
    </xdr:from>
    <xdr:to>
      <xdr:col>13</xdr:col>
      <xdr:colOff>152400</xdr:colOff>
      <xdr:row>65</xdr:row>
      <xdr:rowOff>84667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23E66E-DCCF-44F0-9A74-AB6D45320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567267</xdr:colOff>
      <xdr:row>1</xdr:row>
      <xdr:rowOff>25401</xdr:rowOff>
    </xdr:from>
    <xdr:to>
      <xdr:col>8</xdr:col>
      <xdr:colOff>160867</xdr:colOff>
      <xdr:row>2</xdr:row>
      <xdr:rowOff>160867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B3A5CC3-44FE-1749-8248-88C0C16D37D5}"/>
            </a:ext>
          </a:extLst>
        </xdr:cNvPr>
        <xdr:cNvSpPr txBox="1"/>
      </xdr:nvSpPr>
      <xdr:spPr>
        <a:xfrm>
          <a:off x="4529667" y="220134"/>
          <a:ext cx="9144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Utgifter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B8446A-7C22-4A26-9185-C26C6C980030}" name="Tabell16" displayName="Tabell16" ref="B13:H63" totalsRowShown="0" headerRowDxfId="56" dataDxfId="55">
  <autoFilter ref="B13:H63" xr:uid="{00000000-0009-0000-0100-000001000000}"/>
  <tableColumns count="7">
    <tableColumn id="1" xr3:uid="{AE977DD9-CDC8-4119-A358-471773D6218D}" name="Vad" dataDxfId="54"/>
    <tableColumn id="2" xr3:uid="{E1344FC6-AE2A-49BF-B81F-B02AB4E34D73}" name="Beskrivning" dataDxfId="53"/>
    <tableColumn id="3" xr3:uid="{BAD41E27-B96A-4BEF-83A4-027572A1916C}" name="Datum" dataDxfId="52"/>
    <tableColumn id="4" xr3:uid="{A62900D6-142D-4AED-A52D-2100E50765DF}" name="v." dataDxfId="51"/>
    <tableColumn id="5" xr3:uid="{72204C30-226A-4BC8-9F1B-62DC4D9A1FB5}" name="Konto" dataDxfId="50"/>
    <tableColumn id="6" xr3:uid="{472C4685-697B-423F-AF6F-1FFC4C272DDC}" name="Belopp" dataDxfId="49"/>
    <tableColumn id="7" xr3:uid="{96898E00-7E4A-4802-9A32-B309EF3D684D}" name="Status" dataDxfId="48">
      <calculatedColumnFormula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B13:H63" totalsRowShown="0" headerRowDxfId="37" dataDxfId="36">
  <autoFilter ref="B13:H63" xr:uid="{00000000-0009-0000-0100-000001000000}"/>
  <tableColumns count="7">
    <tableColumn id="1" xr3:uid="{00000000-0010-0000-0000-000001000000}" name="Vad" dataDxfId="35"/>
    <tableColumn id="2" xr3:uid="{00000000-0010-0000-0000-000002000000}" name="Beskrivning" dataDxfId="34"/>
    <tableColumn id="3" xr3:uid="{00000000-0010-0000-0000-000003000000}" name="Datum" dataDxfId="33"/>
    <tableColumn id="4" xr3:uid="{00000000-0010-0000-0000-000004000000}" name="v." dataDxfId="32"/>
    <tableColumn id="5" xr3:uid="{00000000-0010-0000-0000-000005000000}" name="Konto" dataDxfId="31"/>
    <tableColumn id="6" xr3:uid="{00000000-0010-0000-0000-000006000000}" name="Belopp" dataDxfId="30"/>
    <tableColumn id="7" xr3:uid="{00000000-0010-0000-0000-000007000000}" name="Status" dataDxfId="29">
      <calculatedColumnFormula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calculatedColumnFormula>
    </tableColumn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2" displayName="Tabell2" ref="B13:H63" totalsRowShown="0" headerRowDxfId="28" dataDxfId="27">
  <autoFilter ref="B13:H63" xr:uid="{00000000-0009-0000-0100-000002000000}"/>
  <tableColumns count="7">
    <tableColumn id="1" xr3:uid="{00000000-0010-0000-0100-000001000000}" name="Vad" dataDxfId="26"/>
    <tableColumn id="2" xr3:uid="{00000000-0010-0000-0100-000002000000}" name="Beskrivning" dataDxfId="25"/>
    <tableColumn id="3" xr3:uid="{00000000-0010-0000-0100-000003000000}" name="Datum" dataDxfId="24"/>
    <tableColumn id="4" xr3:uid="{00000000-0010-0000-0100-000004000000}" name="v." dataDxfId="23"/>
    <tableColumn id="5" xr3:uid="{00000000-0010-0000-0100-000005000000}" name="Konto" dataDxfId="22"/>
    <tableColumn id="6" xr3:uid="{00000000-0010-0000-0100-000006000000}" name="Belopp" dataDxfId="21"/>
    <tableColumn id="7" xr3:uid="{00000000-0010-0000-0100-000007000000}" name="Status" dataDxfId="20">
      <calculatedColumnFormula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calculatedColumnFormula>
    </tableColumn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3" displayName="Tabell3" ref="B13:H64" totalsRowShown="0" headerRowDxfId="19" dataDxfId="18">
  <autoFilter ref="B13:H64" xr:uid="{00000000-0009-0000-0100-000003000000}"/>
  <tableColumns count="7">
    <tableColumn id="1" xr3:uid="{00000000-0010-0000-0200-000001000000}" name="Vad" dataDxfId="17"/>
    <tableColumn id="2" xr3:uid="{00000000-0010-0000-0200-000002000000}" name="Beskrivning" dataDxfId="16"/>
    <tableColumn id="3" xr3:uid="{00000000-0010-0000-0200-000003000000}" name="Datum" dataDxfId="15"/>
    <tableColumn id="4" xr3:uid="{00000000-0010-0000-0200-000004000000}" name="v." dataDxfId="14"/>
    <tableColumn id="5" xr3:uid="{00000000-0010-0000-0200-000005000000}" name="Konto" dataDxfId="13"/>
    <tableColumn id="6" xr3:uid="{00000000-0010-0000-0200-000006000000}" name="Belopp" dataDxfId="12"/>
    <tableColumn id="7" xr3:uid="{00000000-0010-0000-0200-000007000000}" name="Status" dataDxfId="11">
      <calculatedColumnFormula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calculatedColumnFormula>
    </tableColumn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5E8F4C-E9C0-A847-A1D9-6ADB76DAD8BE}" name="Tabell4" displayName="Tabell4" ref="B13:H63" totalsRowShown="0" headerRowDxfId="10" dataDxfId="9">
  <autoFilter ref="B13:H63" xr:uid="{00000000-0009-0000-0100-000003000000}"/>
  <tableColumns count="7">
    <tableColumn id="1" xr3:uid="{C0807AD4-65E0-7F4F-8227-8D6E99C45BCE}" name="Vad" dataDxfId="8"/>
    <tableColumn id="2" xr3:uid="{9227B720-04AE-C54E-80F3-7856867FEFAF}" name="Beskrivning" dataDxfId="7"/>
    <tableColumn id="3" xr3:uid="{6C1AE409-45A1-E94E-8B3A-319DEF7970A0}" name="Datum" dataDxfId="6"/>
    <tableColumn id="4" xr3:uid="{BC64AE1B-ABD3-054B-923D-C4D26EAE21AD}" name="v." dataDxfId="5"/>
    <tableColumn id="5" xr3:uid="{0FB9D27A-BC1C-324C-A001-CF078D4192F8}" name="Konto" dataDxfId="4"/>
    <tableColumn id="6" xr3:uid="{BAF4B225-C71F-3C4A-94A4-811A1E673259}" name="Belopp" dataDxfId="3"/>
    <tableColumn id="7" xr3:uid="{F1DEFF82-A76D-9643-9C6B-FF565DD39A9A}" name="Status" dataDxfId="2">
      <calculatedColumnFormula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1652-51D9-403D-9A71-C3CC88BE0DA0}">
  <dimension ref="A5:AC61"/>
  <sheetViews>
    <sheetView topLeftCell="A3" zoomScale="60" zoomScaleNormal="60" workbookViewId="0">
      <selection activeCell="M38" sqref="M38"/>
    </sheetView>
  </sheetViews>
  <sheetFormatPr defaultColWidth="8.5703125" defaultRowHeight="14.1"/>
  <cols>
    <col min="1" max="2" width="8.5703125" style="24"/>
    <col min="3" max="3" width="12.42578125" style="24" customWidth="1"/>
    <col min="4" max="4" width="19.140625" style="24" customWidth="1"/>
    <col min="5" max="5" width="13" style="24" customWidth="1"/>
    <col min="6" max="6" width="5.140625" style="24" customWidth="1"/>
    <col min="7" max="7" width="8.5703125" style="24"/>
    <col min="8" max="8" width="12.42578125" style="24" customWidth="1"/>
    <col min="9" max="16384" width="8.5703125" style="24"/>
  </cols>
  <sheetData>
    <row r="5" spans="1:29" ht="26.1" customHeight="1">
      <c r="A5" s="40"/>
      <c r="B5" s="40"/>
      <c r="C5" s="80" t="s">
        <v>0</v>
      </c>
      <c r="D5" s="80"/>
      <c r="E5" s="80"/>
      <c r="F5" s="80"/>
      <c r="G5" s="80"/>
      <c r="H5" s="80"/>
      <c r="I5" s="80"/>
      <c r="J5" s="80"/>
      <c r="K5" s="80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29" ht="21" customHeight="1">
      <c r="A6" s="40"/>
      <c r="B6" s="40"/>
      <c r="C6" s="80"/>
      <c r="D6" s="80"/>
      <c r="E6" s="80"/>
      <c r="F6" s="80"/>
      <c r="G6" s="80"/>
      <c r="H6" s="80"/>
      <c r="I6" s="80"/>
      <c r="J6" s="80"/>
      <c r="K6" s="80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ht="21" customHeight="1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9" spans="1:29" ht="30">
      <c r="C9" s="42" t="s">
        <v>1</v>
      </c>
    </row>
    <row r="11" spans="1:29" ht="24" customHeight="1">
      <c r="C11" s="43" t="s">
        <v>2</v>
      </c>
      <c r="D11" s="43" t="s">
        <v>3</v>
      </c>
      <c r="E11" s="44" t="s">
        <v>4</v>
      </c>
      <c r="F11" s="44" t="s">
        <v>5</v>
      </c>
      <c r="G11" s="44" t="s">
        <v>6</v>
      </c>
      <c r="H11" s="44" t="s">
        <v>7</v>
      </c>
      <c r="I11" s="44" t="s">
        <v>8</v>
      </c>
      <c r="S11" s="45" t="s">
        <v>9</v>
      </c>
    </row>
    <row r="12" spans="1:29" ht="18">
      <c r="C12" s="46" t="s">
        <v>10</v>
      </c>
      <c r="D12" s="46" t="s">
        <v>11</v>
      </c>
      <c r="E12" s="47">
        <v>43508</v>
      </c>
      <c r="F12" s="48">
        <v>1</v>
      </c>
      <c r="G12" s="46" t="s">
        <v>12</v>
      </c>
      <c r="H12" s="49">
        <v>1337</v>
      </c>
      <c r="I12" s="48" t="s">
        <v>13</v>
      </c>
      <c r="S12" s="50" t="s">
        <v>14</v>
      </c>
      <c r="T12" s="51" t="s">
        <v>15</v>
      </c>
    </row>
    <row r="13" spans="1:29" ht="18">
      <c r="S13" s="50" t="s">
        <v>16</v>
      </c>
      <c r="T13" s="51" t="s">
        <v>17</v>
      </c>
    </row>
    <row r="14" spans="1:29" ht="18">
      <c r="S14" s="50" t="s">
        <v>18</v>
      </c>
      <c r="T14" s="51" t="s">
        <v>19</v>
      </c>
    </row>
    <row r="15" spans="1:29" ht="18">
      <c r="S15" s="50" t="s">
        <v>12</v>
      </c>
      <c r="T15" s="51" t="s">
        <v>20</v>
      </c>
    </row>
    <row r="16" spans="1:29" ht="18">
      <c r="S16" s="50" t="s">
        <v>21</v>
      </c>
      <c r="T16" s="51" t="s">
        <v>22</v>
      </c>
    </row>
    <row r="17" spans="19:20" ht="18">
      <c r="S17" s="50" t="s">
        <v>23</v>
      </c>
      <c r="T17" s="51" t="s">
        <v>24</v>
      </c>
    </row>
    <row r="19" spans="19:20" ht="20.100000000000001">
      <c r="S19" s="52" t="s">
        <v>10</v>
      </c>
      <c r="T19" s="51" t="s">
        <v>25</v>
      </c>
    </row>
    <row r="20" spans="19:20" ht="20.100000000000001">
      <c r="S20" s="52" t="s">
        <v>26</v>
      </c>
      <c r="T20" s="51" t="s">
        <v>27</v>
      </c>
    </row>
    <row r="21" spans="19:20" ht="20.100000000000001">
      <c r="S21" s="52" t="s">
        <v>28</v>
      </c>
      <c r="T21" s="51" t="s">
        <v>29</v>
      </c>
    </row>
    <row r="22" spans="19:20" ht="20.100000000000001">
      <c r="S22" s="52" t="s">
        <v>30</v>
      </c>
      <c r="T22" s="51" t="s">
        <v>31</v>
      </c>
    </row>
    <row r="23" spans="19:20" ht="20.100000000000001">
      <c r="S23" s="52" t="s">
        <v>32</v>
      </c>
      <c r="T23" s="51" t="s">
        <v>33</v>
      </c>
    </row>
    <row r="24" spans="19:20" ht="20.100000000000001">
      <c r="S24" s="52" t="s">
        <v>34</v>
      </c>
      <c r="T24" s="51" t="s">
        <v>35</v>
      </c>
    </row>
    <row r="25" spans="19:20" ht="20.100000000000001">
      <c r="S25" s="52" t="s">
        <v>36</v>
      </c>
      <c r="T25" s="51" t="s">
        <v>37</v>
      </c>
    </row>
    <row r="26" spans="19:20" ht="20.100000000000001">
      <c r="S26" s="52" t="s">
        <v>38</v>
      </c>
      <c r="T26" s="51" t="s">
        <v>39</v>
      </c>
    </row>
    <row r="27" spans="19:20" ht="20.100000000000001">
      <c r="S27" s="52" t="s">
        <v>40</v>
      </c>
      <c r="T27" s="51" t="s">
        <v>41</v>
      </c>
    </row>
    <row r="28" spans="19:20" ht="20.100000000000001">
      <c r="S28" s="52" t="s">
        <v>42</v>
      </c>
      <c r="T28" s="51" t="s">
        <v>43</v>
      </c>
    </row>
    <row r="29" spans="19:20" ht="20.100000000000001">
      <c r="S29" s="52" t="s">
        <v>44</v>
      </c>
      <c r="T29" s="51" t="s">
        <v>45</v>
      </c>
    </row>
    <row r="30" spans="19:20" ht="20.100000000000001">
      <c r="S30" s="52" t="s">
        <v>46</v>
      </c>
      <c r="T30" s="51" t="s">
        <v>47</v>
      </c>
    </row>
    <row r="31" spans="19:20" ht="20.100000000000001">
      <c r="S31" s="52" t="s">
        <v>48</v>
      </c>
      <c r="T31" s="51" t="s">
        <v>49</v>
      </c>
    </row>
    <row r="34" spans="3:8">
      <c r="C34" s="79" t="s">
        <v>50</v>
      </c>
      <c r="D34" s="79"/>
      <c r="E34" s="79"/>
      <c r="F34" s="79"/>
      <c r="G34" s="79"/>
      <c r="H34" s="79"/>
    </row>
    <row r="35" spans="3:8">
      <c r="C35" s="79"/>
      <c r="D35" s="79"/>
      <c r="E35" s="79"/>
      <c r="F35" s="79"/>
      <c r="G35" s="79"/>
      <c r="H35" s="79"/>
    </row>
    <row r="36" spans="3:8">
      <c r="C36" s="79"/>
      <c r="D36" s="79"/>
      <c r="E36" s="79"/>
      <c r="F36" s="79"/>
      <c r="G36" s="79"/>
      <c r="H36" s="79"/>
    </row>
    <row r="37" spans="3:8" ht="15.6">
      <c r="C37" s="53" t="s">
        <v>51</v>
      </c>
    </row>
    <row r="39" spans="3:8">
      <c r="C39" s="24" t="s">
        <v>52</v>
      </c>
    </row>
    <row r="40" spans="3:8">
      <c r="C40" s="24" t="s">
        <v>53</v>
      </c>
    </row>
    <row r="42" spans="3:8">
      <c r="C42" s="24" t="s">
        <v>54</v>
      </c>
    </row>
    <row r="43" spans="3:8">
      <c r="C43" s="24" t="s">
        <v>55</v>
      </c>
    </row>
    <row r="45" spans="3:8">
      <c r="C45" s="24" t="s">
        <v>56</v>
      </c>
    </row>
    <row r="46" spans="3:8">
      <c r="C46" s="24" t="s">
        <v>57</v>
      </c>
    </row>
    <row r="48" spans="3:8">
      <c r="C48" s="24" t="s">
        <v>58</v>
      </c>
    </row>
    <row r="49" spans="3:3">
      <c r="C49" s="24" t="s">
        <v>59</v>
      </c>
    </row>
    <row r="51" spans="3:3">
      <c r="C51" s="24" t="s">
        <v>60</v>
      </c>
    </row>
    <row r="52" spans="3:3">
      <c r="C52" s="24" t="s">
        <v>61</v>
      </c>
    </row>
    <row r="54" spans="3:3">
      <c r="C54" s="24" t="s">
        <v>62</v>
      </c>
    </row>
    <row r="55" spans="3:3">
      <c r="C55" s="24" t="s">
        <v>63</v>
      </c>
    </row>
    <row r="57" spans="3:3">
      <c r="C57" s="24" t="s">
        <v>64</v>
      </c>
    </row>
    <row r="58" spans="3:3">
      <c r="C58" s="24" t="s">
        <v>65</v>
      </c>
    </row>
    <row r="60" spans="3:3">
      <c r="C60" s="24" t="s">
        <v>66</v>
      </c>
    </row>
    <row r="61" spans="3:3">
      <c r="C61" s="24" t="s">
        <v>67</v>
      </c>
    </row>
  </sheetData>
  <sheetProtection algorithmName="SHA-512" hashValue="hv0Z8NHzgJexPhxoFSZa9LpZHwFfNLFkYVFiLcDKSFFEqmT9cVWns6FCYWGU+7jleN5huS/26HGD02qTW3p/fw==" saltValue="HPTL9JPuxowwtyzHC0MlSA==" spinCount="100000" sheet="1" objects="1" scenarios="1" selectLockedCells="1" selectUnlockedCells="1"/>
  <mergeCells count="2">
    <mergeCell ref="C34:H36"/>
    <mergeCell ref="C5:K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52F9BB-E730-1140-A8EF-5620C0F581CA}">
          <x14:formula1>
            <xm:f>'Siffror (Rör ej)'!$D$4:$D$16</xm:f>
          </x14:formula1>
          <xm:sqref>C12</xm:sqref>
        </x14:dataValidation>
        <x14:dataValidation type="list" allowBlank="1" showInputMessage="1" showErrorMessage="1" xr:uid="{3DE6B9C4-B046-8040-B921-2F3E3B13CD05}">
          <x14:formula1>
            <xm:f>'Siffror (Rör ej)'!$B$21:$B$26</xm:f>
          </x14:formula1>
          <xm:sqref>G12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D77"/>
  <sheetViews>
    <sheetView topLeftCell="G1" zoomScale="75" zoomScaleNormal="55" workbookViewId="0">
      <selection activeCell="R21" sqref="R21:T23"/>
    </sheetView>
  </sheetViews>
  <sheetFormatPr defaultColWidth="8.5703125" defaultRowHeight="14.45"/>
  <cols>
    <col min="1" max="1" width="8.5703125" style="1"/>
    <col min="2" max="2" width="26.140625" style="1" customWidth="1"/>
    <col min="3" max="8" width="13.5703125" style="1" customWidth="1"/>
    <col min="9" max="9" width="16.85546875" style="1" customWidth="1"/>
    <col min="10" max="10" width="15.42578125" style="1" customWidth="1"/>
    <col min="11" max="11" width="13.42578125" style="1" customWidth="1"/>
    <col min="12" max="12" width="9.5703125" style="1" customWidth="1"/>
    <col min="13" max="15" width="8.5703125" style="1"/>
    <col min="16" max="16" width="12.42578125" style="1" customWidth="1"/>
    <col min="17" max="17" width="6.42578125" style="1" customWidth="1"/>
    <col min="18" max="19" width="10.140625" style="1" bestFit="1" customWidth="1"/>
    <col min="20" max="20" width="8.5703125" style="1"/>
    <col min="21" max="21" width="12" style="1" customWidth="1"/>
    <col min="22" max="23" width="11.42578125" style="1" customWidth="1"/>
    <col min="24" max="24" width="11.85546875" style="1" customWidth="1"/>
    <col min="25" max="25" width="10.85546875" style="1" customWidth="1"/>
    <col min="26" max="26" width="11.42578125" style="1" customWidth="1"/>
    <col min="27" max="27" width="12.42578125" style="1" customWidth="1"/>
    <col min="28" max="28" width="14.42578125" style="1" customWidth="1"/>
    <col min="29" max="29" width="15.140625" style="1" customWidth="1"/>
    <col min="30" max="30" width="15.85546875" style="1" customWidth="1"/>
    <col min="31" max="16384" width="8.5703125" style="1"/>
  </cols>
  <sheetData>
    <row r="2" spans="2:30" ht="21">
      <c r="U2" s="134" t="s">
        <v>93</v>
      </c>
      <c r="V2" s="134"/>
      <c r="W2" s="134" t="s">
        <v>94</v>
      </c>
      <c r="X2" s="134"/>
      <c r="Y2" s="134" t="s">
        <v>95</v>
      </c>
      <c r="Z2" s="134"/>
      <c r="AA2" s="134" t="s">
        <v>96</v>
      </c>
      <c r="AB2" s="134"/>
      <c r="AC2" s="134" t="s">
        <v>74</v>
      </c>
      <c r="AD2" s="134"/>
    </row>
    <row r="3" spans="2:30" ht="23.45">
      <c r="B3" s="133" t="s">
        <v>137</v>
      </c>
      <c r="C3" s="133"/>
      <c r="D3" s="133"/>
      <c r="E3" s="5" t="s">
        <v>12</v>
      </c>
      <c r="F3" s="5" t="s">
        <v>18</v>
      </c>
      <c r="G3" s="5" t="s">
        <v>16</v>
      </c>
      <c r="H3" s="5" t="s">
        <v>14</v>
      </c>
      <c r="I3" s="5" t="s">
        <v>69</v>
      </c>
      <c r="J3" s="1" t="s">
        <v>138</v>
      </c>
      <c r="K3" s="1" t="s">
        <v>139</v>
      </c>
      <c r="U3" s="15" t="s">
        <v>71</v>
      </c>
      <c r="V3" s="15" t="s">
        <v>131</v>
      </c>
      <c r="W3" s="15" t="s">
        <v>71</v>
      </c>
      <c r="X3" s="15" t="s">
        <v>131</v>
      </c>
      <c r="Y3" s="15" t="s">
        <v>71</v>
      </c>
      <c r="Z3" s="15" t="s">
        <v>131</v>
      </c>
      <c r="AA3" s="15" t="s">
        <v>71</v>
      </c>
      <c r="AB3" s="15" t="s">
        <v>131</v>
      </c>
      <c r="AC3" s="15" t="s">
        <v>71</v>
      </c>
      <c r="AD3" s="15" t="s">
        <v>131</v>
      </c>
    </row>
    <row r="4" spans="2:30">
      <c r="D4" s="6" t="s">
        <v>10</v>
      </c>
      <c r="E4" s="4">
        <f>SUMIFS(Tabell1[Belopp],Tabell1[Vad],'Siffror (Rör ej)'!D4,Tabell1[Konto],'Siffror (Rör ej)'!$B$22)</f>
        <v>0</v>
      </c>
      <c r="F4" s="4">
        <f>SUMIFS(Tabell1[Belopp],Tabell1[Vad],'Siffror (Rör ej)'!D4,Tabell1[Konto],$B$21)</f>
        <v>0</v>
      </c>
      <c r="G4" s="4">
        <f>SUMIFS(Tabell1[Belopp],Tabell1[Vad],'Siffror (Rör ej)'!D4,Tabell1[Konto],$B$24)</f>
        <v>0</v>
      </c>
      <c r="H4" s="4">
        <f>SUMIFS(Tabell1[Belopp],Tabell1[Vad],'Siffror (Rör ej)'!D4,Tabell1[Konto],$B$23)</f>
        <v>0</v>
      </c>
      <c r="I4" s="9">
        <f t="shared" ref="I4:I16" si="0">SUM(E4:H4)</f>
        <v>0</v>
      </c>
      <c r="J4" s="4">
        <f>H4-G4</f>
        <v>0</v>
      </c>
      <c r="K4" s="4">
        <f>F4-E4</f>
        <v>0</v>
      </c>
      <c r="L4" s="2"/>
      <c r="N4" s="136" t="s">
        <v>140</v>
      </c>
      <c r="O4" s="136"/>
      <c r="P4" s="136"/>
      <c r="R4" s="2"/>
      <c r="S4" s="2"/>
      <c r="T4" s="14" t="str">
        <f>Event</f>
        <v>Event</v>
      </c>
      <c r="U4" s="19">
        <f>F4+H4</f>
        <v>0</v>
      </c>
      <c r="V4" s="19">
        <f>E4+G4</f>
        <v>0</v>
      </c>
      <c r="W4" s="19">
        <f>F21+H21</f>
        <v>0</v>
      </c>
      <c r="X4" s="19">
        <f>E21+G21</f>
        <v>0</v>
      </c>
      <c r="Y4" s="19">
        <f>F37+H37</f>
        <v>0</v>
      </c>
      <c r="Z4" s="19">
        <f>E37+G37</f>
        <v>0</v>
      </c>
      <c r="AA4" s="19">
        <f>F53+H53</f>
        <v>0</v>
      </c>
      <c r="AB4" s="19">
        <f>E37+G37</f>
        <v>0</v>
      </c>
      <c r="AC4" s="22">
        <f>U4+W4+Y4+AA4</f>
        <v>0</v>
      </c>
      <c r="AD4" s="19">
        <f>V4+X4+Z4+AB4</f>
        <v>0</v>
      </c>
    </row>
    <row r="5" spans="2:30">
      <c r="D5" s="6" t="s">
        <v>26</v>
      </c>
      <c r="E5" s="4">
        <f>SUMIFS(Tabell1[Belopp],Tabell1[Vad],'Siffror (Rör ej)'!D5,Tabell1[Konto],'Siffror (Rör ej)'!$B$22)</f>
        <v>0</v>
      </c>
      <c r="F5" s="4">
        <f>SUMIFS(Tabell1[Belopp],Tabell1[Vad],'Siffror (Rör ej)'!D5,Tabell1[Konto],$B$21)</f>
        <v>0</v>
      </c>
      <c r="G5" s="4">
        <f>SUMIFS(Tabell1[Belopp],Tabell1[Vad],'Siffror (Rör ej)'!D5,Tabell1[Konto],$B$24)</f>
        <v>0</v>
      </c>
      <c r="H5" s="4">
        <f>SUMIFS(Tabell1[Belopp],Tabell1[Vad],'Siffror (Rör ej)'!D5,Tabell1[Konto],$B$23)</f>
        <v>0</v>
      </c>
      <c r="I5" s="9">
        <f t="shared" si="0"/>
        <v>0</v>
      </c>
      <c r="J5" s="4">
        <f t="shared" ref="J5:J16" si="1">H5-G5</f>
        <v>0</v>
      </c>
      <c r="K5" s="4">
        <f t="shared" ref="K5:K16" si="2">F5-E5</f>
        <v>0</v>
      </c>
      <c r="L5" s="2"/>
      <c r="N5" s="136"/>
      <c r="O5" s="136"/>
      <c r="P5" s="136"/>
      <c r="T5" s="6" t="str">
        <f>Lobbying</f>
        <v>Lobbying</v>
      </c>
      <c r="U5" s="21">
        <f t="shared" ref="U5:U16" si="3">F5+H5</f>
        <v>0</v>
      </c>
      <c r="V5" s="21">
        <f t="shared" ref="V5:V16" si="4">E5+G5</f>
        <v>0</v>
      </c>
      <c r="W5" s="21">
        <f t="shared" ref="W5:W16" si="5">F22+H22</f>
        <v>0</v>
      </c>
      <c r="X5" s="21">
        <f t="shared" ref="X5:X16" si="6">E22+G22</f>
        <v>0</v>
      </c>
      <c r="Y5" s="21">
        <f t="shared" ref="Y5:Y16" si="7">F38+H38</f>
        <v>0</v>
      </c>
      <c r="Z5" s="21">
        <f t="shared" ref="Z5:Z16" si="8">E38+G38</f>
        <v>0</v>
      </c>
      <c r="AA5" s="21">
        <f t="shared" ref="AA5:AA16" si="9">F54+H54</f>
        <v>0</v>
      </c>
      <c r="AB5" s="21">
        <f t="shared" ref="AB5:AB16" si="10">E38+G38</f>
        <v>0</v>
      </c>
      <c r="AC5" s="23">
        <f t="shared" ref="AC5:AC16" si="11">U5+W5+Y5+AA5</f>
        <v>0</v>
      </c>
      <c r="AD5" s="21">
        <f t="shared" ref="AD5:AD16" si="12">V5+X5+Z5+AB5</f>
        <v>0</v>
      </c>
    </row>
    <row r="6" spans="2:30">
      <c r="D6" s="6" t="s">
        <v>28</v>
      </c>
      <c r="E6" s="4">
        <f>SUMIFS(Tabell1[Belopp],Tabell1[Vad],'Siffror (Rör ej)'!D6,Tabell1[Konto],'Siffror (Rör ej)'!$B$22)</f>
        <v>0</v>
      </c>
      <c r="F6" s="4">
        <f>SUMIFS(Tabell1[Belopp],Tabell1[Vad],'Siffror (Rör ej)'!D6,Tabell1[Konto],$B$21)</f>
        <v>0</v>
      </c>
      <c r="G6" s="4">
        <f>SUMIFS(Tabell1[Belopp],Tabell1[Vad],'Siffror (Rör ej)'!D6,Tabell1[Konto],$B$24)</f>
        <v>0</v>
      </c>
      <c r="H6" s="4">
        <f>SUMIFS(Tabell1[Belopp],Tabell1[Vad],'Siffror (Rör ej)'!D6,Tabell1[Konto],$B$23)</f>
        <v>0</v>
      </c>
      <c r="I6" s="9">
        <f t="shared" si="0"/>
        <v>0</v>
      </c>
      <c r="J6" s="4">
        <f t="shared" si="1"/>
        <v>0</v>
      </c>
      <c r="K6" s="4">
        <f t="shared" si="2"/>
        <v>0</v>
      </c>
      <c r="L6" s="2"/>
      <c r="R6" s="2"/>
      <c r="S6" s="2"/>
      <c r="T6" s="14" t="str">
        <f>Bildning</f>
        <v>Bildning</v>
      </c>
      <c r="U6" s="19">
        <f t="shared" si="3"/>
        <v>0</v>
      </c>
      <c r="V6" s="19">
        <f t="shared" si="4"/>
        <v>0</v>
      </c>
      <c r="W6" s="19">
        <f t="shared" si="5"/>
        <v>0</v>
      </c>
      <c r="X6" s="19">
        <f t="shared" si="6"/>
        <v>0</v>
      </c>
      <c r="Y6" s="19">
        <f t="shared" si="7"/>
        <v>0</v>
      </c>
      <c r="Z6" s="19">
        <f t="shared" si="8"/>
        <v>0</v>
      </c>
      <c r="AA6" s="19">
        <f t="shared" si="9"/>
        <v>0</v>
      </c>
      <c r="AB6" s="19">
        <f t="shared" si="10"/>
        <v>0</v>
      </c>
      <c r="AC6" s="22">
        <f t="shared" si="11"/>
        <v>0</v>
      </c>
      <c r="AD6" s="19">
        <f t="shared" si="12"/>
        <v>0</v>
      </c>
    </row>
    <row r="7" spans="2:30">
      <c r="D7" s="6" t="s">
        <v>30</v>
      </c>
      <c r="E7" s="4">
        <f>SUMIFS(Tabell1[Belopp],Tabell1[Vad],'Siffror (Rör ej)'!D7,Tabell1[Konto],'Siffror (Rör ej)'!$B$22)</f>
        <v>0</v>
      </c>
      <c r="F7" s="4">
        <f>SUMIFS(Tabell1[Belopp],Tabell1[Vad],'Siffror (Rör ej)'!D7,Tabell1[Konto],$B$21)</f>
        <v>0</v>
      </c>
      <c r="G7" s="4">
        <f>SUMIFS(Tabell1[Belopp],Tabell1[Vad],'Siffror (Rör ej)'!D7,Tabell1[Konto],$B$24)</f>
        <v>0</v>
      </c>
      <c r="H7" s="4">
        <f>SUMIFS(Tabell1[Belopp],Tabell1[Vad],'Siffror (Rör ej)'!D7,Tabell1[Konto],$B$23)</f>
        <v>0</v>
      </c>
      <c r="I7" s="9">
        <f t="shared" si="0"/>
        <v>0</v>
      </c>
      <c r="J7" s="4">
        <f t="shared" si="1"/>
        <v>0</v>
      </c>
      <c r="K7" s="4">
        <f t="shared" si="2"/>
        <v>0</v>
      </c>
      <c r="L7" s="2"/>
      <c r="N7" s="2" t="s">
        <v>141</v>
      </c>
      <c r="O7" s="2"/>
      <c r="P7" s="3">
        <f>BankIn1</f>
        <v>0</v>
      </c>
      <c r="T7" s="6" t="str">
        <f>Service</f>
        <v>Service</v>
      </c>
      <c r="U7" s="21">
        <f t="shared" si="3"/>
        <v>0</v>
      </c>
      <c r="V7" s="21">
        <f t="shared" si="4"/>
        <v>0</v>
      </c>
      <c r="W7" s="21">
        <f t="shared" si="5"/>
        <v>0</v>
      </c>
      <c r="X7" s="21">
        <f t="shared" si="6"/>
        <v>0</v>
      </c>
      <c r="Y7" s="21">
        <f t="shared" si="7"/>
        <v>0</v>
      </c>
      <c r="Z7" s="21">
        <f t="shared" si="8"/>
        <v>0</v>
      </c>
      <c r="AA7" s="21">
        <f t="shared" si="9"/>
        <v>0</v>
      </c>
      <c r="AB7" s="21">
        <f t="shared" si="10"/>
        <v>0</v>
      </c>
      <c r="AC7" s="23">
        <f t="shared" si="11"/>
        <v>0</v>
      </c>
      <c r="AD7" s="21">
        <f t="shared" si="12"/>
        <v>0</v>
      </c>
    </row>
    <row r="8" spans="2:30">
      <c r="D8" s="6" t="s">
        <v>75</v>
      </c>
      <c r="E8" s="4">
        <f>SUMIFS(Tabell1[Belopp],Tabell1[Vad],'Siffror (Rör ej)'!D8,Tabell1[Konto],'Siffror (Rör ej)'!$B$22)</f>
        <v>0</v>
      </c>
      <c r="F8" s="4">
        <f>SUMIFS(Tabell1[Belopp],Tabell1[Vad],'Siffror (Rör ej)'!D8,Tabell1[Konto],$B$21)</f>
        <v>0</v>
      </c>
      <c r="G8" s="4">
        <f>SUMIFS(Tabell1[Belopp],Tabell1[Vad],'Siffror (Rör ej)'!D8,Tabell1[Konto],$B$24)</f>
        <v>0</v>
      </c>
      <c r="H8" s="4">
        <f>SUMIFS(Tabell1[Belopp],Tabell1[Vad],'Siffror (Rör ej)'!D8,Tabell1[Konto],$B$23)</f>
        <v>0</v>
      </c>
      <c r="I8" s="9">
        <f t="shared" si="0"/>
        <v>0</v>
      </c>
      <c r="J8" s="4">
        <f t="shared" si="1"/>
        <v>0</v>
      </c>
      <c r="K8" s="4">
        <f t="shared" si="2"/>
        <v>0</v>
      </c>
      <c r="L8" s="2"/>
      <c r="N8" s="2" t="s">
        <v>142</v>
      </c>
      <c r="O8" s="2"/>
      <c r="P8" s="3">
        <f>KassaIn1</f>
        <v>0</v>
      </c>
      <c r="R8" s="2"/>
      <c r="S8" s="2"/>
      <c r="T8" s="14" t="str">
        <f>Föreningar</f>
        <v>Föreningar/Utskott</v>
      </c>
      <c r="U8" s="19">
        <f t="shared" si="3"/>
        <v>0</v>
      </c>
      <c r="V8" s="19">
        <f t="shared" si="4"/>
        <v>0</v>
      </c>
      <c r="W8" s="19">
        <f t="shared" si="5"/>
        <v>0</v>
      </c>
      <c r="X8" s="19">
        <f t="shared" si="6"/>
        <v>0</v>
      </c>
      <c r="Y8" s="19">
        <f t="shared" si="7"/>
        <v>0</v>
      </c>
      <c r="Z8" s="19">
        <f t="shared" si="8"/>
        <v>0</v>
      </c>
      <c r="AA8" s="19">
        <f t="shared" si="9"/>
        <v>0</v>
      </c>
      <c r="AB8" s="19">
        <f t="shared" si="10"/>
        <v>0</v>
      </c>
      <c r="AC8" s="22">
        <f t="shared" si="11"/>
        <v>0</v>
      </c>
      <c r="AD8" s="19">
        <f t="shared" si="12"/>
        <v>0</v>
      </c>
    </row>
    <row r="9" spans="2:30">
      <c r="D9" s="13" t="s">
        <v>34</v>
      </c>
      <c r="E9" s="12">
        <f>SUMIFS(Tabell1[Belopp],Tabell1[Vad],'Siffror (Rör ej)'!D9,Tabell1[Konto],'Siffror (Rör ej)'!$B$25)</f>
        <v>0</v>
      </c>
      <c r="F9" s="12">
        <f>SUMIFS(Tabell1[Belopp],Tabell1[Vad],'Siffror (Rör ej)'!D9,Tabell1[Konto],$B$26)</f>
        <v>0</v>
      </c>
      <c r="G9" s="12">
        <f>SUMIFS(Tabell1[Belopp],Tabell1[Vad],'Siffror (Rör ej)'!D9,Tabell1[Konto],$B$26)</f>
        <v>0</v>
      </c>
      <c r="H9" s="12">
        <f>SUMIFS(Tabell1[Belopp],Tabell1[Vad],'Siffror (Rör ej)'!D9,Tabell1[Konto],$B$25)</f>
        <v>0</v>
      </c>
      <c r="I9" s="18">
        <f t="shared" si="0"/>
        <v>0</v>
      </c>
      <c r="J9" s="4">
        <f t="shared" si="1"/>
        <v>0</v>
      </c>
      <c r="K9" s="4">
        <f t="shared" si="2"/>
        <v>0</v>
      </c>
      <c r="L9" s="2"/>
      <c r="N9" s="2" t="s">
        <v>143</v>
      </c>
      <c r="O9" s="2"/>
      <c r="P9" s="3">
        <f>P7+P8</f>
        <v>0</v>
      </c>
      <c r="T9" s="6" t="str">
        <f>InsättningarochUttag</f>
        <v>Insättning/Uttag</v>
      </c>
      <c r="U9" s="21">
        <f>F9+H9</f>
        <v>0</v>
      </c>
      <c r="V9" s="21">
        <f t="shared" si="4"/>
        <v>0</v>
      </c>
      <c r="W9" s="21">
        <f t="shared" si="5"/>
        <v>0</v>
      </c>
      <c r="X9" s="21">
        <f t="shared" si="6"/>
        <v>0</v>
      </c>
      <c r="Y9" s="21">
        <f t="shared" si="7"/>
        <v>0</v>
      </c>
      <c r="Z9" s="21">
        <f t="shared" si="8"/>
        <v>0</v>
      </c>
      <c r="AA9" s="21">
        <f t="shared" si="9"/>
        <v>0</v>
      </c>
      <c r="AB9" s="21">
        <f t="shared" si="10"/>
        <v>0</v>
      </c>
      <c r="AC9" s="23">
        <f t="shared" si="11"/>
        <v>0</v>
      </c>
      <c r="AD9" s="21">
        <f t="shared" si="12"/>
        <v>0</v>
      </c>
    </row>
    <row r="10" spans="2:30">
      <c r="D10" s="6" t="s">
        <v>36</v>
      </c>
      <c r="E10" s="4">
        <f>SUMIFS(Tabell1[Belopp],Tabell1[Vad],'Siffror (Rör ej)'!D10,Tabell1[Konto],'Siffror (Rör ej)'!$B$22)</f>
        <v>0</v>
      </c>
      <c r="F10" s="4">
        <f>SUMIFS(Tabell1[Belopp],Tabell1[Vad],'Siffror (Rör ej)'!D10,Tabell1[Konto],$B$21)</f>
        <v>0</v>
      </c>
      <c r="G10" s="4">
        <f>SUMIFS(Tabell1[Belopp],Tabell1[Vad],'Siffror (Rör ej)'!D10,Tabell1[Konto],$B$24)</f>
        <v>0</v>
      </c>
      <c r="H10" s="4">
        <f>SUMIFS(Tabell1[Belopp],Tabell1[Vad],'Siffror (Rör ej)'!D10,Tabell1[Konto],$B$23)</f>
        <v>0</v>
      </c>
      <c r="I10" s="9">
        <f t="shared" si="0"/>
        <v>0</v>
      </c>
      <c r="J10" s="4">
        <f t="shared" si="1"/>
        <v>0</v>
      </c>
      <c r="K10" s="4">
        <f t="shared" si="2"/>
        <v>0</v>
      </c>
      <c r="L10" s="2"/>
      <c r="N10" s="2"/>
      <c r="O10" s="2"/>
      <c r="P10" s="2"/>
      <c r="R10" s="2"/>
      <c r="S10" s="2"/>
      <c r="T10" s="14" t="str">
        <f>Resor</f>
        <v>Resor</v>
      </c>
      <c r="U10" s="19">
        <f t="shared" si="3"/>
        <v>0</v>
      </c>
      <c r="V10" s="19">
        <f t="shared" si="4"/>
        <v>0</v>
      </c>
      <c r="W10" s="19">
        <f t="shared" si="5"/>
        <v>0</v>
      </c>
      <c r="X10" s="19">
        <f t="shared" si="6"/>
        <v>0</v>
      </c>
      <c r="Y10" s="19">
        <f t="shared" si="7"/>
        <v>0</v>
      </c>
      <c r="Z10" s="19">
        <f t="shared" si="8"/>
        <v>0</v>
      </c>
      <c r="AA10" s="19">
        <f t="shared" si="9"/>
        <v>0</v>
      </c>
      <c r="AB10" s="19">
        <f t="shared" si="10"/>
        <v>0</v>
      </c>
      <c r="AC10" s="22">
        <f t="shared" si="11"/>
        <v>0</v>
      </c>
      <c r="AD10" s="19">
        <f t="shared" si="12"/>
        <v>0</v>
      </c>
    </row>
    <row r="11" spans="2:30">
      <c r="D11" s="6" t="s">
        <v>38</v>
      </c>
      <c r="E11" s="4">
        <f>SUMIFS(Tabell1[Belopp],Tabell1[Vad],'Siffror (Rör ej)'!D11,Tabell1[Konto],'Siffror (Rör ej)'!$B$22)</f>
        <v>0</v>
      </c>
      <c r="F11" s="4">
        <f>SUMIFS(Tabell1[Belopp],Tabell1[Vad],'Siffror (Rör ej)'!D11,Tabell1[Konto],$B$21)</f>
        <v>0</v>
      </c>
      <c r="G11" s="4">
        <f>SUMIFS(Tabell1[Belopp],Tabell1[Vad],'Siffror (Rör ej)'!D11,Tabell1[Konto],$B$24)</f>
        <v>0</v>
      </c>
      <c r="H11" s="4">
        <f>SUMIFS(Tabell1[Belopp],Tabell1[Vad],'Siffror (Rör ej)'!D11,Tabell1[Konto],$B$23)</f>
        <v>0</v>
      </c>
      <c r="I11" s="9">
        <f t="shared" si="0"/>
        <v>0</v>
      </c>
      <c r="J11" s="4">
        <f t="shared" si="1"/>
        <v>0</v>
      </c>
      <c r="K11" s="4">
        <f t="shared" si="2"/>
        <v>0</v>
      </c>
      <c r="L11" s="2"/>
      <c r="N11" s="2" t="s">
        <v>144</v>
      </c>
      <c r="O11" s="2"/>
      <c r="P11" s="3">
        <f>BankUt1</f>
        <v>0</v>
      </c>
      <c r="T11" s="6" t="str">
        <f>Kårrum</f>
        <v>Kårrum</v>
      </c>
      <c r="U11" s="21">
        <f t="shared" si="3"/>
        <v>0</v>
      </c>
      <c r="V11" s="21">
        <f t="shared" si="4"/>
        <v>0</v>
      </c>
      <c r="W11" s="21">
        <f t="shared" si="5"/>
        <v>0</v>
      </c>
      <c r="X11" s="21">
        <f t="shared" si="6"/>
        <v>0</v>
      </c>
      <c r="Y11" s="21">
        <f t="shared" si="7"/>
        <v>0</v>
      </c>
      <c r="Z11" s="21">
        <f t="shared" si="8"/>
        <v>0</v>
      </c>
      <c r="AA11" s="21">
        <f t="shared" si="9"/>
        <v>0</v>
      </c>
      <c r="AB11" s="21">
        <f t="shared" si="10"/>
        <v>0</v>
      </c>
      <c r="AC11" s="23">
        <f t="shared" si="11"/>
        <v>0</v>
      </c>
      <c r="AD11" s="21">
        <f t="shared" si="12"/>
        <v>0</v>
      </c>
    </row>
    <row r="12" spans="2:30">
      <c r="D12" s="6" t="s">
        <v>40</v>
      </c>
      <c r="E12" s="4">
        <f>SUMIFS(Tabell1[Belopp],Tabell1[Vad],'Siffror (Rör ej)'!D12,Tabell1[Konto],'Siffror (Rör ej)'!$B$22)</f>
        <v>0</v>
      </c>
      <c r="F12" s="4">
        <f>SUMIFS(Tabell1[Belopp],Tabell1[Vad],'Siffror (Rör ej)'!D12,Tabell1[Konto],$B$21)</f>
        <v>0</v>
      </c>
      <c r="G12" s="4">
        <f>SUMIFS(Tabell1[Belopp],Tabell1[Vad],'Siffror (Rör ej)'!D12,Tabell1[Konto],$B$24)</f>
        <v>0</v>
      </c>
      <c r="H12" s="4">
        <f>SUMIFS(Tabell1[Belopp],Tabell1[Vad],'Siffror (Rör ej)'!D12,Tabell1[Konto],$B$23)</f>
        <v>0</v>
      </c>
      <c r="I12" s="9">
        <f t="shared" si="0"/>
        <v>0</v>
      </c>
      <c r="J12" s="4">
        <f t="shared" si="1"/>
        <v>0</v>
      </c>
      <c r="K12" s="4">
        <f t="shared" si="2"/>
        <v>0</v>
      </c>
      <c r="L12" s="2"/>
      <c r="N12" s="2" t="s">
        <v>145</v>
      </c>
      <c r="O12" s="2"/>
      <c r="P12" s="3">
        <f>KassaUt1</f>
        <v>0</v>
      </c>
      <c r="R12" s="2"/>
      <c r="S12" s="2"/>
      <c r="T12" s="14" t="str">
        <f>BidragFrånSverigesElevkårer</f>
        <v>Bidrag från Sveriges Elevkårer</v>
      </c>
      <c r="U12" s="19">
        <f t="shared" si="3"/>
        <v>0</v>
      </c>
      <c r="V12" s="19">
        <f t="shared" si="4"/>
        <v>0</v>
      </c>
      <c r="W12" s="19">
        <f t="shared" si="5"/>
        <v>0</v>
      </c>
      <c r="X12" s="19">
        <f t="shared" si="6"/>
        <v>0</v>
      </c>
      <c r="Y12" s="19">
        <f t="shared" si="7"/>
        <v>0</v>
      </c>
      <c r="Z12" s="19">
        <f t="shared" si="8"/>
        <v>0</v>
      </c>
      <c r="AA12" s="19">
        <f t="shared" si="9"/>
        <v>0</v>
      </c>
      <c r="AB12" s="19">
        <f t="shared" si="10"/>
        <v>0</v>
      </c>
      <c r="AC12" s="22">
        <f t="shared" si="11"/>
        <v>0</v>
      </c>
      <c r="AD12" s="19">
        <f t="shared" si="12"/>
        <v>0</v>
      </c>
    </row>
    <row r="13" spans="2:30">
      <c r="D13" s="6" t="s">
        <v>42</v>
      </c>
      <c r="E13" s="4">
        <f>SUMIFS(Tabell1[Belopp],Tabell1[Vad],'Siffror (Rör ej)'!D13,Tabell1[Konto],'Siffror (Rör ej)'!$B$22)</f>
        <v>0</v>
      </c>
      <c r="F13" s="4">
        <f>SUMIFS(Tabell1[Belopp],Tabell1[Vad],'Siffror (Rör ej)'!D13,Tabell1[Konto],$B$21)</f>
        <v>0</v>
      </c>
      <c r="G13" s="4">
        <f>SUMIFS(Tabell1[Belopp],Tabell1[Vad],'Siffror (Rör ej)'!D13,Tabell1[Konto],$B$24)</f>
        <v>0</v>
      </c>
      <c r="H13" s="4">
        <f>SUMIFS(Tabell1[Belopp],Tabell1[Vad],'Siffror (Rör ej)'!D13,Tabell1[Konto],$B$23)</f>
        <v>0</v>
      </c>
      <c r="I13" s="9">
        <f t="shared" si="0"/>
        <v>0</v>
      </c>
      <c r="J13" s="4">
        <f t="shared" si="1"/>
        <v>0</v>
      </c>
      <c r="K13" s="4">
        <f t="shared" si="2"/>
        <v>0</v>
      </c>
      <c r="L13" s="2"/>
      <c r="N13" s="2" t="s">
        <v>146</v>
      </c>
      <c r="O13" s="2"/>
      <c r="P13" s="3">
        <f>P11+P12</f>
        <v>0</v>
      </c>
      <c r="T13" s="6" t="str">
        <f>BidragFrånSkolan</f>
        <v>Bidrag från skolan</v>
      </c>
      <c r="U13" s="21">
        <f t="shared" si="3"/>
        <v>0</v>
      </c>
      <c r="V13" s="21">
        <f t="shared" si="4"/>
        <v>0</v>
      </c>
      <c r="W13" s="21">
        <f t="shared" si="5"/>
        <v>0</v>
      </c>
      <c r="X13" s="21">
        <f t="shared" si="6"/>
        <v>0</v>
      </c>
      <c r="Y13" s="21">
        <f t="shared" si="7"/>
        <v>0</v>
      </c>
      <c r="Z13" s="21">
        <f t="shared" si="8"/>
        <v>0</v>
      </c>
      <c r="AA13" s="21">
        <f t="shared" si="9"/>
        <v>0</v>
      </c>
      <c r="AB13" s="21">
        <f t="shared" si="10"/>
        <v>0</v>
      </c>
      <c r="AC13" s="23">
        <f t="shared" si="11"/>
        <v>0</v>
      </c>
      <c r="AD13" s="21">
        <f t="shared" si="12"/>
        <v>0</v>
      </c>
    </row>
    <row r="14" spans="2:30">
      <c r="D14" s="6" t="s">
        <v>123</v>
      </c>
      <c r="E14" s="4">
        <f>SUMIFS(Tabell1[Belopp],Tabell1[Vad],'Siffror (Rör ej)'!D14,Tabell1[Konto],'Siffror (Rör ej)'!$B$22)</f>
        <v>0</v>
      </c>
      <c r="F14" s="4">
        <f>SUMIFS(Tabell1[Belopp],Tabell1[Vad],'Siffror (Rör ej)'!D14,Tabell1[Konto],$B$21)</f>
        <v>0</v>
      </c>
      <c r="G14" s="4">
        <f>SUMIFS(Tabell1[Belopp],Tabell1[Vad],'Siffror (Rör ej)'!D14,Tabell1[Konto],$B$24)</f>
        <v>0</v>
      </c>
      <c r="H14" s="4">
        <f>SUMIFS(Tabell1[Belopp],Tabell1[Vad],'Siffror (Rör ej)'!D14,Tabell1[Konto],$B$23)</f>
        <v>0</v>
      </c>
      <c r="I14" s="9">
        <f t="shared" si="0"/>
        <v>0</v>
      </c>
      <c r="J14" s="4">
        <f t="shared" si="1"/>
        <v>0</v>
      </c>
      <c r="K14" s="4">
        <f t="shared" si="2"/>
        <v>0</v>
      </c>
      <c r="L14" s="2"/>
      <c r="N14" s="2"/>
      <c r="O14" s="2"/>
      <c r="P14" s="2"/>
      <c r="R14" s="2"/>
      <c r="S14" s="2"/>
      <c r="T14" s="14" t="str">
        <f>ÖvrigaBidragOchSponsring</f>
        <v>Övriga bidrag/sponsring</v>
      </c>
      <c r="U14" s="19">
        <f t="shared" si="3"/>
        <v>0</v>
      </c>
      <c r="V14" s="19">
        <f t="shared" si="4"/>
        <v>0</v>
      </c>
      <c r="W14" s="19">
        <f t="shared" si="5"/>
        <v>0</v>
      </c>
      <c r="X14" s="19">
        <f t="shared" si="6"/>
        <v>0</v>
      </c>
      <c r="Y14" s="19">
        <f t="shared" si="7"/>
        <v>0</v>
      </c>
      <c r="Z14" s="19">
        <f t="shared" si="8"/>
        <v>0</v>
      </c>
      <c r="AA14" s="19">
        <f t="shared" si="9"/>
        <v>0</v>
      </c>
      <c r="AB14" s="19">
        <f t="shared" si="10"/>
        <v>0</v>
      </c>
      <c r="AC14" s="22">
        <f t="shared" si="11"/>
        <v>0</v>
      </c>
      <c r="AD14" s="19">
        <f t="shared" si="12"/>
        <v>0</v>
      </c>
    </row>
    <row r="15" spans="2:30">
      <c r="D15" s="6" t="s">
        <v>46</v>
      </c>
      <c r="E15" s="4">
        <f>SUMIFS(Tabell1[Belopp],Tabell1[Vad],'Siffror (Rör ej)'!D15,Tabell1[Konto],'Siffror (Rör ej)'!$B$22)</f>
        <v>0</v>
      </c>
      <c r="F15" s="4">
        <f>SUMIFS(Tabell1[Belopp],Tabell1[Vad],'Siffror (Rör ej)'!D15,Tabell1[Konto],$B$21)</f>
        <v>0</v>
      </c>
      <c r="G15" s="4">
        <f>SUMIFS(Tabell1[Belopp],Tabell1[Vad],'Siffror (Rör ej)'!D15,Tabell1[Konto],$B$24)</f>
        <v>0</v>
      </c>
      <c r="H15" s="4">
        <f>SUMIFS(Tabell1[Belopp],Tabell1[Vad],'Siffror (Rör ej)'!D15,Tabell1[Konto],$B$23)</f>
        <v>0</v>
      </c>
      <c r="I15" s="9">
        <f t="shared" si="0"/>
        <v>0</v>
      </c>
      <c r="J15" s="4">
        <f t="shared" si="1"/>
        <v>0</v>
      </c>
      <c r="K15" s="4">
        <f t="shared" si="2"/>
        <v>0</v>
      </c>
      <c r="L15" s="2"/>
      <c r="N15" s="2" t="s">
        <v>147</v>
      </c>
      <c r="O15" s="2"/>
      <c r="P15" s="3">
        <f>P9-P13</f>
        <v>0</v>
      </c>
      <c r="T15" s="6" t="str">
        <f>Medlemsavgift</f>
        <v>Medlemsavgift</v>
      </c>
      <c r="U15" s="21">
        <f t="shared" si="3"/>
        <v>0</v>
      </c>
      <c r="V15" s="21">
        <f t="shared" si="4"/>
        <v>0</v>
      </c>
      <c r="W15" s="21">
        <f t="shared" si="5"/>
        <v>0</v>
      </c>
      <c r="X15" s="21">
        <f t="shared" si="6"/>
        <v>0</v>
      </c>
      <c r="Y15" s="21">
        <f t="shared" si="7"/>
        <v>0</v>
      </c>
      <c r="Z15" s="21">
        <f t="shared" si="8"/>
        <v>0</v>
      </c>
      <c r="AA15" s="21">
        <f t="shared" si="9"/>
        <v>0</v>
      </c>
      <c r="AB15" s="21">
        <f t="shared" si="10"/>
        <v>0</v>
      </c>
      <c r="AC15" s="23">
        <f t="shared" si="11"/>
        <v>0</v>
      </c>
      <c r="AD15" s="21">
        <f t="shared" si="12"/>
        <v>0</v>
      </c>
    </row>
    <row r="16" spans="2:30">
      <c r="D16" s="6" t="s">
        <v>48</v>
      </c>
      <c r="E16" s="4">
        <f>SUMIFS(Tabell1[Belopp],Tabell1[Vad],'Siffror (Rör ej)'!D16,Tabell1[Konto],'Siffror (Rör ej)'!$B$22)</f>
        <v>0</v>
      </c>
      <c r="F16" s="4">
        <f>SUMIFS(Tabell1[Belopp],Tabell1[Vad],'Siffror (Rör ej)'!D16,Tabell1[Konto],$B$21)</f>
        <v>0</v>
      </c>
      <c r="G16" s="4">
        <f>SUMIFS(Tabell1[Belopp],Tabell1[Vad],'Siffror (Rör ej)'!D16,Tabell1[Konto],$B$24)</f>
        <v>0</v>
      </c>
      <c r="H16" s="4">
        <f>SUMIFS(Tabell1[Belopp],Tabell1[Vad],'Siffror (Rör ej)'!D16,Tabell1[Konto],$B$23)</f>
        <v>0</v>
      </c>
      <c r="I16" s="9">
        <f t="shared" si="0"/>
        <v>0</v>
      </c>
      <c r="J16" s="4">
        <f t="shared" si="1"/>
        <v>0</v>
      </c>
      <c r="K16" s="4">
        <f t="shared" si="2"/>
        <v>0</v>
      </c>
      <c r="L16" s="2"/>
      <c r="N16" s="2"/>
      <c r="O16" s="2"/>
      <c r="P16" s="2"/>
      <c r="R16" s="2"/>
      <c r="S16" s="2"/>
      <c r="T16" s="14" t="str">
        <f>Övrigt</f>
        <v>Övrigt</v>
      </c>
      <c r="U16" s="19">
        <f t="shared" si="3"/>
        <v>0</v>
      </c>
      <c r="V16" s="19">
        <f t="shared" si="4"/>
        <v>0</v>
      </c>
      <c r="W16" s="19">
        <f t="shared" si="5"/>
        <v>0</v>
      </c>
      <c r="X16" s="19">
        <f t="shared" si="6"/>
        <v>0</v>
      </c>
      <c r="Y16" s="19">
        <f t="shared" si="7"/>
        <v>0</v>
      </c>
      <c r="Z16" s="19">
        <f t="shared" si="8"/>
        <v>0</v>
      </c>
      <c r="AA16" s="19">
        <f t="shared" si="9"/>
        <v>0</v>
      </c>
      <c r="AB16" s="19">
        <f t="shared" si="10"/>
        <v>0</v>
      </c>
      <c r="AC16" s="22">
        <f t="shared" si="11"/>
        <v>0</v>
      </c>
      <c r="AD16" s="19">
        <f t="shared" si="12"/>
        <v>0</v>
      </c>
    </row>
    <row r="17" spans="2:30">
      <c r="D17" s="10" t="s">
        <v>148</v>
      </c>
      <c r="E17" s="7">
        <f t="shared" ref="E17:K17" si="13">SUM(E4:E16)</f>
        <v>0</v>
      </c>
      <c r="F17" s="7">
        <f t="shared" si="13"/>
        <v>0</v>
      </c>
      <c r="G17" s="7">
        <f t="shared" si="13"/>
        <v>0</v>
      </c>
      <c r="H17" s="7">
        <f t="shared" si="13"/>
        <v>0</v>
      </c>
      <c r="I17" s="9">
        <f t="shared" si="13"/>
        <v>0</v>
      </c>
      <c r="J17" s="9">
        <f t="shared" si="13"/>
        <v>0</v>
      </c>
      <c r="K17" s="9">
        <f t="shared" si="13"/>
        <v>0</v>
      </c>
      <c r="L17" s="2"/>
      <c r="N17" s="2"/>
      <c r="O17" s="2"/>
      <c r="P17" s="2"/>
      <c r="U17" s="4"/>
      <c r="AC17" s="20"/>
      <c r="AD17" s="20"/>
    </row>
    <row r="18" spans="2:30">
      <c r="R18" s="4"/>
      <c r="S18" s="4"/>
    </row>
    <row r="20" spans="2:30" ht="23.45">
      <c r="B20" s="8" t="s">
        <v>149</v>
      </c>
      <c r="C20" s="133" t="s">
        <v>94</v>
      </c>
      <c r="D20" s="133"/>
      <c r="E20" s="5" t="s">
        <v>12</v>
      </c>
      <c r="F20" s="5" t="s">
        <v>18</v>
      </c>
      <c r="G20" s="5" t="s">
        <v>16</v>
      </c>
      <c r="H20" s="5" t="s">
        <v>14</v>
      </c>
      <c r="I20" s="5" t="s">
        <v>69</v>
      </c>
      <c r="J20" s="1" t="s">
        <v>138</v>
      </c>
      <c r="K20" s="1" t="s">
        <v>139</v>
      </c>
    </row>
    <row r="21" spans="2:30" ht="14.45" customHeight="1">
      <c r="B21" s="3" t="s">
        <v>18</v>
      </c>
      <c r="D21" s="6" t="str">
        <f>Event</f>
        <v>Event</v>
      </c>
      <c r="E21" s="4">
        <f>SUMIFS(Tabell2[Belopp],Tabell2[Vad],'Siffror (Rör ej)'!D21,Tabell2[Konto],'Siffror (Rör ej)'!$B$22)</f>
        <v>0</v>
      </c>
      <c r="F21" s="4">
        <f>SUMIFS(Tabell2[Belopp],Tabell2[Vad],'Siffror (Rör ej)'!D21,Tabell2[Konto],$B$21)</f>
        <v>0</v>
      </c>
      <c r="G21" s="4">
        <f>SUMIFS(Tabell2[Belopp],Tabell2[Vad],'Siffror (Rör ej)'!D21,Tabell2[Konto],$B$24)</f>
        <v>0</v>
      </c>
      <c r="H21" s="4">
        <f>SUMIFS(Tabell2[Belopp],Tabell2[Vad],'Siffror (Rör ej)'!D21,Tabell2[Konto],$B$23)</f>
        <v>0</v>
      </c>
      <c r="I21" s="9">
        <f t="shared" ref="I21:I33" si="14">SUM(E21:H21)</f>
        <v>0</v>
      </c>
      <c r="J21" s="4">
        <f>H21-G21</f>
        <v>0</v>
      </c>
      <c r="K21" s="4">
        <f>F21-E21</f>
        <v>0</v>
      </c>
      <c r="L21" s="2"/>
      <c r="N21" s="136" t="s">
        <v>150</v>
      </c>
      <c r="O21" s="136"/>
      <c r="P21" s="136"/>
      <c r="R21" s="135" t="str">
        <f>IF(StörstaIntäkten1=0,"I Bokföring 1 har ni inga bokförda intäkter!","I Bokföring 1 tjänade ni mest pengar på "&amp;INDEX(T4:T16,MATCH(StörstaIntäkten1,U4:U16,0),0)&amp;" med totala intäkter på "&amp;StörstaIntäkten1&amp;"kr!")</f>
        <v>I Bokföring 1 har ni inga bokförda intäkter!</v>
      </c>
      <c r="S21" s="135"/>
      <c r="T21" s="135"/>
      <c r="V21" s="135" t="str">
        <f>IF(StörstaKostnaden1=0,"I Bokföring 1 har ni inga bokförda kostnader!","I Bokföring 1 spenderade ni mest pengar på "&amp;INDEX(T4:T16,MATCH(StörstaKostnaden1,V4:V16,0),0)&amp;" med totala intäkter på "&amp;StörstaKostnaden1&amp;"kr!")</f>
        <v>I Bokföring 1 har ni inga bokförda kostnader!</v>
      </c>
      <c r="W21" s="135"/>
      <c r="X21" s="135"/>
      <c r="Z21" s="138" t="str">
        <f>IF(StörstaIntäktenTotalt=0,"Ni har inte bokfört några intäkter!","I hela er bokföring har ni tjänat mest pengar på "&amp;INDEX($T$4:$T$16,MATCH(StörstaIntäktenTotalt,$AC$4:$AC$16,0),0)&amp;" med totala intäkter på "&amp;StörstaIntäktenTotalt&amp;"kr!")</f>
        <v>Ni har inte bokfört några intäkter!</v>
      </c>
      <c r="AA21" s="138"/>
      <c r="AB21" s="138"/>
    </row>
    <row r="22" spans="2:30">
      <c r="B22" s="3" t="s">
        <v>12</v>
      </c>
      <c r="D22" s="6" t="str">
        <f>Lobbying</f>
        <v>Lobbying</v>
      </c>
      <c r="E22" s="4">
        <f>SUMIFS(Tabell2[Belopp],Tabell2[Vad],'Siffror (Rör ej)'!D22,Tabell2[Konto],'Siffror (Rör ej)'!$B$22)</f>
        <v>0</v>
      </c>
      <c r="F22" s="4">
        <f>SUMIFS(Tabell2[Belopp],Tabell2[Vad],'Siffror (Rör ej)'!D22,Tabell2[Konto],$B$21)</f>
        <v>0</v>
      </c>
      <c r="G22" s="4">
        <f>SUMIFS(Tabell2[Belopp],Tabell2[Vad],'Siffror (Rör ej)'!D22,Tabell2[Konto],$B$24)</f>
        <v>0</v>
      </c>
      <c r="H22" s="4">
        <f>SUMIFS(Tabell2[Belopp],Tabell2[Vad],'Siffror (Rör ej)'!D22,Tabell2[Konto],$B$23)</f>
        <v>0</v>
      </c>
      <c r="I22" s="9">
        <f t="shared" si="14"/>
        <v>0</v>
      </c>
      <c r="J22" s="4">
        <f t="shared" ref="J22:J33" si="15">H22-G22</f>
        <v>0</v>
      </c>
      <c r="K22" s="4">
        <f t="shared" ref="K22:K33" si="16">F22-E22</f>
        <v>0</v>
      </c>
      <c r="L22" s="2"/>
      <c r="N22" s="136"/>
      <c r="O22" s="136"/>
      <c r="P22" s="136"/>
      <c r="R22" s="135"/>
      <c r="S22" s="135"/>
      <c r="T22" s="135"/>
      <c r="V22" s="135"/>
      <c r="W22" s="135"/>
      <c r="X22" s="135"/>
      <c r="Z22" s="138"/>
      <c r="AA22" s="138"/>
      <c r="AB22" s="138"/>
    </row>
    <row r="23" spans="2:30">
      <c r="B23" s="3" t="s">
        <v>14</v>
      </c>
      <c r="D23" s="6" t="str">
        <f>Bildning</f>
        <v>Bildning</v>
      </c>
      <c r="E23" s="4">
        <f>SUMIFS(Tabell2[Belopp],Tabell2[Vad],'Siffror (Rör ej)'!D23,Tabell2[Konto],'Siffror (Rör ej)'!$B$22)</f>
        <v>0</v>
      </c>
      <c r="F23" s="4">
        <f>SUMIFS(Tabell2[Belopp],Tabell2[Vad],'Siffror (Rör ej)'!D23,Tabell2[Konto],$B$21)</f>
        <v>0</v>
      </c>
      <c r="G23" s="4">
        <f>SUMIFS(Tabell2[Belopp],Tabell2[Vad],'Siffror (Rör ej)'!D23,Tabell2[Konto],$B$24)</f>
        <v>0</v>
      </c>
      <c r="H23" s="4">
        <f>SUMIFS(Tabell2[Belopp],Tabell2[Vad],'Siffror (Rör ej)'!D23,Tabell2[Konto],$B$23)</f>
        <v>0</v>
      </c>
      <c r="I23" s="9">
        <f t="shared" si="14"/>
        <v>0</v>
      </c>
      <c r="J23" s="4">
        <f t="shared" si="15"/>
        <v>0</v>
      </c>
      <c r="K23" s="4">
        <f t="shared" si="16"/>
        <v>0</v>
      </c>
      <c r="L23" s="2"/>
      <c r="R23" s="135"/>
      <c r="S23" s="135"/>
      <c r="T23" s="135"/>
      <c r="V23" s="135"/>
      <c r="W23" s="135"/>
      <c r="X23" s="135"/>
      <c r="Z23" s="138"/>
      <c r="AA23" s="138"/>
      <c r="AB23" s="138"/>
    </row>
    <row r="24" spans="2:30" ht="14.45" customHeight="1">
      <c r="B24" s="3" t="s">
        <v>16</v>
      </c>
      <c r="D24" s="6" t="str">
        <f>Service</f>
        <v>Service</v>
      </c>
      <c r="E24" s="4">
        <f>SUMIFS(Tabell2[Belopp],Tabell2[Vad],'Siffror (Rör ej)'!D24,Tabell2[Konto],'Siffror (Rör ej)'!$B$22)</f>
        <v>0</v>
      </c>
      <c r="F24" s="4">
        <f>SUMIFS(Tabell2[Belopp],Tabell2[Vad],'Siffror (Rör ej)'!D24,Tabell2[Konto],$B$21)</f>
        <v>0</v>
      </c>
      <c r="G24" s="4">
        <f>SUMIFS(Tabell2[Belopp],Tabell2[Vad],'Siffror (Rör ej)'!D24,Tabell2[Konto],$B$24)</f>
        <v>0</v>
      </c>
      <c r="H24" s="4">
        <f>SUMIFS(Tabell2[Belopp],Tabell2[Vad],'Siffror (Rör ej)'!D24,Tabell2[Konto],$B$23)</f>
        <v>0</v>
      </c>
      <c r="I24" s="9">
        <f t="shared" si="14"/>
        <v>0</v>
      </c>
      <c r="J24" s="4">
        <f t="shared" si="15"/>
        <v>0</v>
      </c>
      <c r="K24" s="4">
        <f t="shared" si="16"/>
        <v>0</v>
      </c>
      <c r="L24" s="2"/>
      <c r="N24" s="2" t="s">
        <v>141</v>
      </c>
      <c r="O24" s="2"/>
      <c r="P24" s="11">
        <f>BankIn2</f>
        <v>0</v>
      </c>
      <c r="R24" s="17"/>
      <c r="S24" s="17"/>
      <c r="T24" s="17"/>
    </row>
    <row r="25" spans="2:30" ht="14.45" customHeight="1">
      <c r="B25" s="3" t="s">
        <v>23</v>
      </c>
      <c r="D25" s="6" t="str">
        <f>Föreningar</f>
        <v>Föreningar/Utskott</v>
      </c>
      <c r="E25" s="4">
        <f>SUMIFS(Tabell2[Belopp],Tabell2[Vad],'Siffror (Rör ej)'!D25,Tabell2[Konto],'Siffror (Rör ej)'!$B$22)</f>
        <v>0</v>
      </c>
      <c r="F25" s="4">
        <f>SUMIFS(Tabell2[Belopp],Tabell2[Vad],'Siffror (Rör ej)'!D25,Tabell2[Konto],$B$21)</f>
        <v>0</v>
      </c>
      <c r="G25" s="4">
        <f>SUMIFS(Tabell2[Belopp],Tabell2[Vad],'Siffror (Rör ej)'!D25,Tabell2[Konto],$B$24)</f>
        <v>0</v>
      </c>
      <c r="H25" s="4">
        <f>SUMIFS(Tabell2[Belopp],Tabell2[Vad],'Siffror (Rör ej)'!D25,Tabell2[Konto],$B$23)</f>
        <v>0</v>
      </c>
      <c r="I25" s="9">
        <f t="shared" si="14"/>
        <v>0</v>
      </c>
      <c r="J25" s="4">
        <f t="shared" si="15"/>
        <v>0</v>
      </c>
      <c r="K25" s="4">
        <f t="shared" si="16"/>
        <v>0</v>
      </c>
      <c r="L25" s="2"/>
      <c r="N25" s="2" t="s">
        <v>142</v>
      </c>
      <c r="O25" s="2"/>
      <c r="P25" s="11">
        <f>KassaIn2</f>
        <v>0</v>
      </c>
      <c r="R25" s="135" t="str">
        <f>IF(StörstaIntäkten2=0,"I Bokföring 2 har ni inga bokförda intäkter!","I Bokföring 2 tjänade ni mest pengar på "&amp;INDEX(T4:T16,MATCH(StörstaIntäkten2,W4:W16,0),0)&amp;" med totala intäkter på "&amp;StörstaIntäkten2&amp;"kr!")</f>
        <v>I Bokföring 2 har ni inga bokförda intäkter!</v>
      </c>
      <c r="S25" s="135"/>
      <c r="T25" s="135"/>
      <c r="V25" s="135" t="str">
        <f>IF(StörstaKostnaden2=0,"I Bokföring 2 har ni inga bokförda kostnader!","I Bokföring 2 spenderade ni mest pengar på "&amp;INDEX(T4:T16,MATCH(StörstaKostnaden2,X4:X16,0),0)&amp;" med totala intäkter på "&amp;StörstaKostnaden2&amp;"kr!")</f>
        <v>I Bokföring 2 har ni inga bokförda kostnader!</v>
      </c>
      <c r="W25" s="135"/>
      <c r="X25" s="135"/>
      <c r="Z25" s="135" t="str">
        <f>IF(StörstaKostnadenTotalt=0,"Ni har inte bokfört några kostnader!","I hela er bokföring har ni spenderat mest pengar på "&amp;INDEX($T$4:$T$16,MATCH(StörstaKostnadenTotalt,$AD$4:$AD$16,0),0)&amp;" med totala kostnader på "&amp;StörstaKostnadenTotalt&amp;"kr!")</f>
        <v>Ni har inte bokfört några kostnader!</v>
      </c>
      <c r="AA25" s="135"/>
      <c r="AB25" s="135"/>
    </row>
    <row r="26" spans="2:30" ht="14.45" customHeight="1">
      <c r="B26" s="3" t="s">
        <v>21</v>
      </c>
      <c r="D26" s="13" t="str">
        <f>InsättningarochUttag</f>
        <v>Insättning/Uttag</v>
      </c>
      <c r="E26" s="12">
        <f>SUMIFS(Tabell2[Belopp],Tabell2[Vad],'Siffror (Rör ej)'!D26,Tabell2[Konto],'Siffror (Rör ej)'!$B$25)</f>
        <v>0</v>
      </c>
      <c r="F26" s="12">
        <f>SUMIFS(Tabell2[Belopp],Tabell2[Vad],'Siffror (Rör ej)'!D26,Tabell2[Konto],$B$26)</f>
        <v>0</v>
      </c>
      <c r="G26" s="12">
        <f>SUMIFS(Tabell2[Belopp],Tabell2[Vad],'Siffror (Rör ej)'!D26,Tabell2[Konto],$B$26)</f>
        <v>0</v>
      </c>
      <c r="H26" s="12">
        <f>SUMIFS(Tabell2[Belopp],Tabell2[Vad],'Siffror (Rör ej)'!D26,Tabell2[Konto],$B$25)</f>
        <v>0</v>
      </c>
      <c r="I26" s="18">
        <f t="shared" si="14"/>
        <v>0</v>
      </c>
      <c r="J26" s="4">
        <f t="shared" si="15"/>
        <v>0</v>
      </c>
      <c r="K26" s="4">
        <f t="shared" si="16"/>
        <v>0</v>
      </c>
      <c r="L26" s="2"/>
      <c r="N26" s="2" t="s">
        <v>143</v>
      </c>
      <c r="O26" s="2"/>
      <c r="P26" s="11">
        <f>P24+P25</f>
        <v>0</v>
      </c>
      <c r="R26" s="135"/>
      <c r="S26" s="135"/>
      <c r="T26" s="135"/>
      <c r="V26" s="135"/>
      <c r="W26" s="135"/>
      <c r="X26" s="135"/>
      <c r="Z26" s="135"/>
      <c r="AA26" s="135"/>
      <c r="AB26" s="135"/>
    </row>
    <row r="27" spans="2:30">
      <c r="D27" s="6" t="str">
        <f>Resor</f>
        <v>Resor</v>
      </c>
      <c r="E27" s="4">
        <f>SUMIFS(Tabell2[Belopp],Tabell2[Vad],'Siffror (Rör ej)'!D27,Tabell2[Konto],'Siffror (Rör ej)'!$B$22)</f>
        <v>0</v>
      </c>
      <c r="F27" s="4">
        <f>SUMIFS(Tabell2[Belopp],Tabell2[Vad],'Siffror (Rör ej)'!D27,Tabell2[Konto],$B$21)</f>
        <v>0</v>
      </c>
      <c r="G27" s="4">
        <f>SUMIFS(Tabell2[Belopp],Tabell2[Vad],'Siffror (Rör ej)'!D27,Tabell2[Konto],$B$24)</f>
        <v>0</v>
      </c>
      <c r="H27" s="4">
        <f>SUMIFS(Tabell2[Belopp],Tabell2[Vad],'Siffror (Rör ej)'!D27,Tabell2[Konto],$B$23)</f>
        <v>0</v>
      </c>
      <c r="I27" s="9">
        <f>SUM(E27:H27)</f>
        <v>0</v>
      </c>
      <c r="J27" s="4">
        <f t="shared" si="15"/>
        <v>0</v>
      </c>
      <c r="K27" s="4">
        <f t="shared" si="16"/>
        <v>0</v>
      </c>
      <c r="L27" s="2"/>
      <c r="N27" s="2"/>
      <c r="O27" s="2"/>
      <c r="P27" s="9"/>
      <c r="R27" s="135"/>
      <c r="S27" s="135"/>
      <c r="T27" s="135"/>
      <c r="V27" s="135"/>
      <c r="W27" s="135"/>
      <c r="X27" s="135"/>
      <c r="Z27" s="135"/>
      <c r="AA27" s="135"/>
      <c r="AB27" s="135"/>
    </row>
    <row r="28" spans="2:30">
      <c r="D28" s="6" t="str">
        <f>Kårrum</f>
        <v>Kårrum</v>
      </c>
      <c r="E28" s="4">
        <f>SUMIFS(Tabell2[Belopp],Tabell2[Vad],'Siffror (Rör ej)'!D28,Tabell2[Konto],'Siffror (Rör ej)'!$B$22)</f>
        <v>0</v>
      </c>
      <c r="F28" s="4">
        <f>SUMIFS(Tabell2[Belopp],Tabell2[Vad],'Siffror (Rör ej)'!D28,Tabell2[Konto],$B$21)</f>
        <v>0</v>
      </c>
      <c r="G28" s="4">
        <f>SUMIFS(Tabell2[Belopp],Tabell2[Vad],'Siffror (Rör ej)'!D28,Tabell2[Konto],$B$24)</f>
        <v>0</v>
      </c>
      <c r="H28" s="4">
        <f>SUMIFS(Tabell2[Belopp],Tabell2[Vad],'Siffror (Rör ej)'!D28,Tabell2[Konto],$B$23)</f>
        <v>0</v>
      </c>
      <c r="I28" s="9">
        <f t="shared" si="14"/>
        <v>0</v>
      </c>
      <c r="J28" s="4">
        <f t="shared" si="15"/>
        <v>0</v>
      </c>
      <c r="K28" s="4">
        <f t="shared" si="16"/>
        <v>0</v>
      </c>
      <c r="L28" s="2"/>
      <c r="N28" s="2" t="s">
        <v>144</v>
      </c>
      <c r="O28" s="2"/>
      <c r="P28" s="11">
        <f>BankUt2</f>
        <v>0</v>
      </c>
    </row>
    <row r="29" spans="2:30" ht="15" customHeight="1">
      <c r="D29" s="6" t="str">
        <f>BidragFrånSverigesElevkårer</f>
        <v>Bidrag från Sveriges Elevkårer</v>
      </c>
      <c r="E29" s="4">
        <f>SUMIFS(Tabell2[Belopp],Tabell2[Vad],'Siffror (Rör ej)'!D29,Tabell2[Konto],'Siffror (Rör ej)'!$B$22)</f>
        <v>0</v>
      </c>
      <c r="F29" s="4">
        <f>SUMIFS(Tabell2[Belopp],Tabell2[Vad],'Siffror (Rör ej)'!D29,Tabell2[Konto],$B$21)</f>
        <v>0</v>
      </c>
      <c r="G29" s="4">
        <f>SUMIFS(Tabell2[Belopp],Tabell2[Vad],'Siffror (Rör ej)'!D29,Tabell2[Konto],$B$24)</f>
        <v>0</v>
      </c>
      <c r="H29" s="4">
        <f>SUMIFS(Tabell2[Belopp],Tabell2[Vad],'Siffror (Rör ej)'!D29,Tabell2[Konto],$B$23)</f>
        <v>0</v>
      </c>
      <c r="I29" s="9">
        <f t="shared" si="14"/>
        <v>0</v>
      </c>
      <c r="J29" s="4">
        <f t="shared" si="15"/>
        <v>0</v>
      </c>
      <c r="K29" s="4">
        <f t="shared" si="16"/>
        <v>0</v>
      </c>
      <c r="L29" s="2"/>
      <c r="N29" s="2" t="s">
        <v>145</v>
      </c>
      <c r="O29" s="2"/>
      <c r="P29" s="11">
        <f>KassaUt2</f>
        <v>0</v>
      </c>
      <c r="R29" s="135" t="str">
        <f>IF(StörstaIntäkten3=0,"I Bokföring 3 har ni inga bokförda intäkter!","I Bokföring 3 tjänade ni mest pengar på "&amp;INDEX(T4:T16,MATCH(StörstaIntäkten3,Y4:Y16,0),0)&amp;" med totala intäkter på "&amp;StörstaIntäkten3&amp;"kr!")</f>
        <v>I Bokföring 3 har ni inga bokförda intäkter!</v>
      </c>
      <c r="S29" s="135"/>
      <c r="T29" s="135"/>
      <c r="V29" s="135" t="str">
        <f>IF(StörstaKostnaden3=0,"I Bokföring 3 har ni inga bokförda kostnader!","I Bokföring 3 spenderade ni mest pengar på "&amp;INDEX(T4:T16,MATCH(StörstaKostnaden3,Z4:Z16,0),0)&amp;" med totala intäkter på "&amp;StörstaKostnaden3&amp;"kr!")</f>
        <v>I Bokföring 3 har ni inga bokförda kostnader!</v>
      </c>
      <c r="W29" s="135"/>
      <c r="X29" s="135"/>
      <c r="Z29" s="137"/>
      <c r="AA29" s="137"/>
      <c r="AB29" s="137"/>
    </row>
    <row r="30" spans="2:30">
      <c r="D30" s="6" t="str">
        <f>BidragFrånSkolan</f>
        <v>Bidrag från skolan</v>
      </c>
      <c r="E30" s="4">
        <f>SUMIFS(Tabell2[Belopp],Tabell2[Vad],'Siffror (Rör ej)'!D30,Tabell2[Konto],'Siffror (Rör ej)'!$B$22)</f>
        <v>0</v>
      </c>
      <c r="F30" s="4">
        <f>SUMIFS(Tabell2[Belopp],Tabell2[Vad],'Siffror (Rör ej)'!D30,Tabell2[Konto],$B$21)</f>
        <v>0</v>
      </c>
      <c r="G30" s="4">
        <f>SUMIFS(Tabell2[Belopp],Tabell2[Vad],'Siffror (Rör ej)'!D30,Tabell2[Konto],$B$24)</f>
        <v>0</v>
      </c>
      <c r="H30" s="4">
        <f>SUMIFS(Tabell2[Belopp],Tabell2[Vad],'Siffror (Rör ej)'!D30,Tabell2[Konto],$B$23)</f>
        <v>0</v>
      </c>
      <c r="I30" s="9">
        <f t="shared" si="14"/>
        <v>0</v>
      </c>
      <c r="J30" s="4">
        <f t="shared" si="15"/>
        <v>0</v>
      </c>
      <c r="K30" s="4">
        <f t="shared" si="16"/>
        <v>0</v>
      </c>
      <c r="L30" s="2"/>
      <c r="N30" s="2" t="s">
        <v>146</v>
      </c>
      <c r="O30" s="2"/>
      <c r="P30" s="11">
        <f>P28+P29</f>
        <v>0</v>
      </c>
      <c r="R30" s="135"/>
      <c r="S30" s="135"/>
      <c r="T30" s="135"/>
      <c r="V30" s="135"/>
      <c r="W30" s="135"/>
      <c r="X30" s="135"/>
      <c r="Z30" s="137"/>
      <c r="AA30" s="137"/>
      <c r="AB30" s="137"/>
    </row>
    <row r="31" spans="2:30" ht="14.45" customHeight="1">
      <c r="D31" s="6" t="str">
        <f>ÖvrigaBidragOchSponsring</f>
        <v>Övriga bidrag/sponsring</v>
      </c>
      <c r="E31" s="4">
        <f>SUMIFS(Tabell2[Belopp],Tabell2[Vad],'Siffror (Rör ej)'!D31,Tabell2[Konto],'Siffror (Rör ej)'!$B$22)</f>
        <v>0</v>
      </c>
      <c r="F31" s="4">
        <f>SUMIFS(Tabell2[Belopp],Tabell2[Vad],'Siffror (Rör ej)'!D31,Tabell2[Konto],$B$21)</f>
        <v>0</v>
      </c>
      <c r="G31" s="4">
        <f>SUMIFS(Tabell2[Belopp],Tabell2[Vad],'Siffror (Rör ej)'!D31,Tabell2[Konto],$B$24)</f>
        <v>0</v>
      </c>
      <c r="H31" s="4">
        <f>SUMIFS(Tabell2[Belopp],Tabell2[Vad],'Siffror (Rör ej)'!D31,Tabell2[Konto],$B$23)</f>
        <v>0</v>
      </c>
      <c r="I31" s="9">
        <f t="shared" si="14"/>
        <v>0</v>
      </c>
      <c r="J31" s="4">
        <f t="shared" si="15"/>
        <v>0</v>
      </c>
      <c r="K31" s="4">
        <f t="shared" si="16"/>
        <v>0</v>
      </c>
      <c r="L31" s="2"/>
      <c r="N31" s="2"/>
      <c r="O31" s="2"/>
      <c r="P31" s="9"/>
      <c r="R31" s="135"/>
      <c r="S31" s="135"/>
      <c r="T31" s="135"/>
      <c r="V31" s="135"/>
      <c r="W31" s="135"/>
      <c r="X31" s="135"/>
      <c r="Z31" s="137"/>
      <c r="AA31" s="137"/>
      <c r="AB31" s="137"/>
    </row>
    <row r="32" spans="2:30">
      <c r="D32" s="6" t="str">
        <f>Medlemsavgift</f>
        <v>Medlemsavgift</v>
      </c>
      <c r="E32" s="4">
        <f>SUMIFS(Tabell2[Belopp],Tabell2[Vad],'Siffror (Rör ej)'!D32,Tabell2[Konto],'Siffror (Rör ej)'!$B$22)</f>
        <v>0</v>
      </c>
      <c r="F32" s="4">
        <f>SUMIFS(Tabell2[Belopp],Tabell2[Vad],'Siffror (Rör ej)'!D32,Tabell2[Konto],$B$21)</f>
        <v>0</v>
      </c>
      <c r="G32" s="4">
        <f>SUMIFS(Tabell2[Belopp],Tabell2[Vad],'Siffror (Rör ej)'!D32,Tabell2[Konto],$B$24)</f>
        <v>0</v>
      </c>
      <c r="H32" s="4">
        <f>SUMIFS(Tabell2[Belopp],Tabell2[Vad],'Siffror (Rör ej)'!D32,Tabell2[Konto],$B$23)</f>
        <v>0</v>
      </c>
      <c r="I32" s="9">
        <f t="shared" si="14"/>
        <v>0</v>
      </c>
      <c r="J32" s="4">
        <f t="shared" si="15"/>
        <v>0</v>
      </c>
      <c r="K32" s="4">
        <f t="shared" si="16"/>
        <v>0</v>
      </c>
      <c r="L32" s="2"/>
      <c r="N32" s="2" t="s">
        <v>147</v>
      </c>
      <c r="O32" s="2"/>
      <c r="P32" s="11">
        <f>P26-P30</f>
        <v>0</v>
      </c>
      <c r="R32" s="17"/>
      <c r="S32" s="17"/>
      <c r="T32" s="17"/>
    </row>
    <row r="33" spans="3:24" ht="15" customHeight="1">
      <c r="D33" s="6" t="str">
        <f>Övrigt</f>
        <v>Övrigt</v>
      </c>
      <c r="E33" s="4">
        <f>SUMIFS(Tabell2[Belopp],Tabell2[Vad],'Siffror (Rör ej)'!D33,Tabell2[Konto],'Siffror (Rör ej)'!$B$22)</f>
        <v>0</v>
      </c>
      <c r="F33" s="4">
        <f>SUMIFS(Tabell2[Belopp],Tabell2[Vad],'Siffror (Rör ej)'!D33,Tabell2[Konto],$B$21)</f>
        <v>0</v>
      </c>
      <c r="G33" s="4">
        <f>SUMIFS(Tabell2[Belopp],Tabell2[Vad],'Siffror (Rör ej)'!D33,Tabell2[Konto],$B$24)</f>
        <v>0</v>
      </c>
      <c r="H33" s="4">
        <f>SUMIFS(Tabell2[Belopp],Tabell2[Vad],'Siffror (Rör ej)'!D33,Tabell2[Konto],$B$23)</f>
        <v>0</v>
      </c>
      <c r="I33" s="9">
        <f t="shared" si="14"/>
        <v>0</v>
      </c>
      <c r="J33" s="4">
        <f t="shared" si="15"/>
        <v>0</v>
      </c>
      <c r="K33" s="4">
        <f t="shared" si="16"/>
        <v>0</v>
      </c>
      <c r="L33" s="2"/>
      <c r="N33" s="2"/>
      <c r="O33" s="2"/>
      <c r="P33" s="2"/>
      <c r="R33" s="135" t="str">
        <f>IF(StörstaIntäkten4=0,"I Bokföring 4 har ni inga bokförda intäkter!","I Bokföring 4 tjänade ni mest pengar på "&amp;INDEX(T4:T16,MATCH(StörstaIntäkten4,AA4:AA16,0),0)&amp;" med totala intäkter på "&amp;StörstaIntäkten4&amp;"kr!")</f>
        <v>I Bokföring 4 har ni inga bokförda intäkter!</v>
      </c>
      <c r="S33" s="135"/>
      <c r="T33" s="135"/>
      <c r="V33" s="135" t="str">
        <f>IF(StörstaKostnaden4=0,"I Bokföring 4 har ni inga bokförda kostnader!","I Bokföring 4 spenderade ni mest pengar på "&amp;INDEX(T4:T16,MATCH(StörstaKostnaden3,AB4:AB16,0),0)&amp;" med totala intäkter på "&amp;StörstaKostnaden4&amp;"kr!")</f>
        <v>I Bokföring 4 har ni inga bokförda kostnader!</v>
      </c>
      <c r="W33" s="135"/>
      <c r="X33" s="135"/>
    </row>
    <row r="34" spans="3:24">
      <c r="D34" s="10" t="s">
        <v>148</v>
      </c>
      <c r="E34" s="7">
        <f t="shared" ref="E34:K34" si="17">SUM(E21:E33)</f>
        <v>0</v>
      </c>
      <c r="F34" s="7">
        <f t="shared" si="17"/>
        <v>0</v>
      </c>
      <c r="G34" s="7">
        <f t="shared" si="17"/>
        <v>0</v>
      </c>
      <c r="H34" s="7">
        <f t="shared" si="17"/>
        <v>0</v>
      </c>
      <c r="I34" s="9">
        <f t="shared" si="17"/>
        <v>0</v>
      </c>
      <c r="J34" s="9">
        <f t="shared" si="17"/>
        <v>0</v>
      </c>
      <c r="K34" s="9">
        <f t="shared" si="17"/>
        <v>0</v>
      </c>
      <c r="L34" s="2"/>
      <c r="N34" s="2"/>
      <c r="O34" s="2"/>
      <c r="P34" s="2"/>
      <c r="R34" s="135"/>
      <c r="S34" s="135"/>
      <c r="T34" s="135"/>
      <c r="V34" s="135"/>
      <c r="W34" s="135"/>
      <c r="X34" s="135"/>
    </row>
    <row r="35" spans="3:24">
      <c r="R35" s="135"/>
      <c r="S35" s="135"/>
      <c r="T35" s="135"/>
      <c r="V35" s="135"/>
      <c r="W35" s="135"/>
      <c r="X35" s="135"/>
    </row>
    <row r="36" spans="3:24" ht="23.45">
      <c r="C36" s="133" t="s">
        <v>95</v>
      </c>
      <c r="D36" s="133"/>
      <c r="E36" s="5" t="s">
        <v>12</v>
      </c>
      <c r="F36" s="5" t="s">
        <v>18</v>
      </c>
      <c r="G36" s="5" t="s">
        <v>16</v>
      </c>
      <c r="H36" s="5" t="s">
        <v>14</v>
      </c>
      <c r="I36" s="5" t="s">
        <v>69</v>
      </c>
      <c r="J36" s="1" t="s">
        <v>138</v>
      </c>
      <c r="K36" s="1" t="s">
        <v>139</v>
      </c>
    </row>
    <row r="37" spans="3:24">
      <c r="D37" s="6" t="str">
        <f>Event</f>
        <v>Event</v>
      </c>
      <c r="E37" s="4">
        <f>SUMIFS(Tabell3[Belopp],Tabell3[Vad],'Siffror (Rör ej)'!D37,Tabell3[Konto],'Siffror (Rör ej)'!$B$22)</f>
        <v>0</v>
      </c>
      <c r="F37" s="4">
        <f>SUMIFS(Tabell3[Belopp],Tabell3[Vad],'Siffror (Rör ej)'!D37,Tabell3[Konto],$B$21)</f>
        <v>0</v>
      </c>
      <c r="G37" s="4">
        <f>SUMIFS(Tabell3[Belopp],Tabell3[Vad],'Siffror (Rör ej)'!D37,Tabell3[Konto],$B$24)</f>
        <v>0</v>
      </c>
      <c r="H37" s="4">
        <f>SUMIFS(Tabell3[Belopp],Tabell3[Vad],'Siffror (Rör ej)'!D37,Tabell3[Konto],$B$23)</f>
        <v>0</v>
      </c>
      <c r="I37" s="9">
        <f t="shared" ref="I37:I49" si="18">SUM(E37:H37)</f>
        <v>0</v>
      </c>
      <c r="J37" s="4">
        <f>H37-G37</f>
        <v>0</v>
      </c>
      <c r="K37" s="4">
        <f>F37-E37</f>
        <v>0</v>
      </c>
      <c r="L37" s="2"/>
      <c r="N37" s="136" t="s">
        <v>151</v>
      </c>
      <c r="O37" s="136"/>
      <c r="P37" s="136"/>
    </row>
    <row r="38" spans="3:24">
      <c r="D38" s="6" t="str">
        <f>Lobbying</f>
        <v>Lobbying</v>
      </c>
      <c r="E38" s="4">
        <f>SUMIFS(Tabell3[Belopp],Tabell3[Vad],'Siffror (Rör ej)'!D38,Tabell3[Konto],'Siffror (Rör ej)'!$B$22)</f>
        <v>0</v>
      </c>
      <c r="F38" s="4">
        <f>SUMIFS(Tabell3[Belopp],Tabell3[Vad],'Siffror (Rör ej)'!D38,Tabell3[Konto],$B$21)</f>
        <v>0</v>
      </c>
      <c r="G38" s="4">
        <f>SUMIFS(Tabell3[Belopp],Tabell3[Vad],'Siffror (Rör ej)'!D38,Tabell3[Konto],$B$24)</f>
        <v>0</v>
      </c>
      <c r="H38" s="4">
        <f>SUMIFS(Tabell3[Belopp],Tabell3[Vad],'Siffror (Rör ej)'!D38,Tabell3[Konto],$B$23)</f>
        <v>0</v>
      </c>
      <c r="I38" s="9">
        <f t="shared" si="18"/>
        <v>0</v>
      </c>
      <c r="J38" s="4">
        <f t="shared" ref="J38:J49" si="19">H38-G38</f>
        <v>0</v>
      </c>
      <c r="K38" s="4">
        <f t="shared" ref="K38:K49" si="20">F38-E38</f>
        <v>0</v>
      </c>
      <c r="L38" s="2"/>
      <c r="N38" s="136"/>
      <c r="O38" s="136"/>
      <c r="P38" s="136"/>
    </row>
    <row r="39" spans="3:24">
      <c r="D39" s="6" t="str">
        <f>Bildning</f>
        <v>Bildning</v>
      </c>
      <c r="E39" s="4">
        <f>SUMIFS(Tabell3[Belopp],Tabell3[Vad],'Siffror (Rör ej)'!D39,Tabell3[Konto],'Siffror (Rör ej)'!$B$22)</f>
        <v>0</v>
      </c>
      <c r="F39" s="4">
        <f>SUMIFS(Tabell3[Belopp],Tabell3[Vad],'Siffror (Rör ej)'!D39,Tabell3[Konto],$B$21)</f>
        <v>0</v>
      </c>
      <c r="G39" s="4">
        <f>SUMIFS(Tabell3[Belopp],Tabell3[Vad],'Siffror (Rör ej)'!D39,Tabell3[Konto],$B$24)</f>
        <v>0</v>
      </c>
      <c r="H39" s="4">
        <f>SUMIFS(Tabell3[Belopp],Tabell3[Vad],'Siffror (Rör ej)'!D39,Tabell3[Konto],$B$23)</f>
        <v>0</v>
      </c>
      <c r="I39" s="9">
        <f t="shared" si="18"/>
        <v>0</v>
      </c>
      <c r="J39" s="4">
        <f t="shared" si="19"/>
        <v>0</v>
      </c>
      <c r="K39" s="4">
        <f t="shared" si="20"/>
        <v>0</v>
      </c>
      <c r="L39" s="2"/>
    </row>
    <row r="40" spans="3:24">
      <c r="D40" s="6" t="str">
        <f>Service</f>
        <v>Service</v>
      </c>
      <c r="E40" s="4">
        <f>SUMIFS(Tabell3[Belopp],Tabell3[Vad],'Siffror (Rör ej)'!D40,Tabell3[Konto],'Siffror (Rör ej)'!$B$22)</f>
        <v>0</v>
      </c>
      <c r="F40" s="4">
        <f>SUMIFS(Tabell3[Belopp],Tabell3[Vad],'Siffror (Rör ej)'!D40,Tabell3[Konto],$B$21)</f>
        <v>0</v>
      </c>
      <c r="G40" s="4">
        <f>SUMIFS(Tabell3[Belopp],Tabell3[Vad],'Siffror (Rör ej)'!D40,Tabell3[Konto],$B$24)</f>
        <v>0</v>
      </c>
      <c r="H40" s="4">
        <f>SUMIFS(Tabell3[Belopp],Tabell3[Vad],'Siffror (Rör ej)'!D40,Tabell3[Konto],$B$23)</f>
        <v>0</v>
      </c>
      <c r="I40" s="9">
        <f t="shared" si="18"/>
        <v>0</v>
      </c>
      <c r="J40" s="4">
        <f t="shared" si="19"/>
        <v>0</v>
      </c>
      <c r="K40" s="4">
        <f t="shared" si="20"/>
        <v>0</v>
      </c>
      <c r="L40" s="2"/>
      <c r="N40" s="2" t="s">
        <v>141</v>
      </c>
      <c r="O40" s="2"/>
      <c r="P40" s="11">
        <f>BankIn3</f>
        <v>0</v>
      </c>
    </row>
    <row r="41" spans="3:24">
      <c r="D41" s="6" t="str">
        <f>Föreningar</f>
        <v>Föreningar/Utskott</v>
      </c>
      <c r="E41" s="4">
        <f>SUMIFS(Tabell3[Belopp],Tabell3[Vad],'Siffror (Rör ej)'!D41,Tabell3[Konto],'Siffror (Rör ej)'!$B$22)</f>
        <v>0</v>
      </c>
      <c r="F41" s="4">
        <f>SUMIFS(Tabell3[Belopp],Tabell3[Vad],'Siffror (Rör ej)'!D41,Tabell3[Konto],$B$21)</f>
        <v>0</v>
      </c>
      <c r="G41" s="4">
        <f>SUMIFS(Tabell3[Belopp],Tabell3[Vad],'Siffror (Rör ej)'!D41,Tabell3[Konto],$B$24)</f>
        <v>0</v>
      </c>
      <c r="H41" s="4">
        <f>SUMIFS(Tabell3[Belopp],Tabell3[Vad],'Siffror (Rör ej)'!D41,Tabell3[Konto],$B$23)</f>
        <v>0</v>
      </c>
      <c r="I41" s="9">
        <f t="shared" si="18"/>
        <v>0</v>
      </c>
      <c r="J41" s="4">
        <f t="shared" si="19"/>
        <v>0</v>
      </c>
      <c r="K41" s="4">
        <f t="shared" si="20"/>
        <v>0</v>
      </c>
      <c r="L41" s="2"/>
      <c r="N41" s="2" t="s">
        <v>142</v>
      </c>
      <c r="O41" s="2"/>
      <c r="P41" s="11">
        <f>KassaIn3</f>
        <v>0</v>
      </c>
    </row>
    <row r="42" spans="3:24">
      <c r="D42" s="13" t="str">
        <f>InsättningarochUttag</f>
        <v>Insättning/Uttag</v>
      </c>
      <c r="E42" s="12">
        <f>SUMIFS(Tabell3[Belopp],Tabell3[Vad],'Siffror (Rör ej)'!D42,Tabell3[Konto],'Siffror (Rör ej)'!$B$25)</f>
        <v>0</v>
      </c>
      <c r="F42" s="12">
        <f>SUMIFS(Tabell3[Belopp],Tabell3[Vad],'Siffror (Rör ej)'!D42,Tabell3[Konto],$B$26)</f>
        <v>0</v>
      </c>
      <c r="G42" s="12">
        <f>SUMIFS(Tabell3[Belopp],Tabell3[Vad],'Siffror (Rör ej)'!D42,Tabell3[Konto],$B$26)</f>
        <v>0</v>
      </c>
      <c r="H42" s="12">
        <f>SUMIFS(Tabell3[Belopp],Tabell3[Vad],'Siffror (Rör ej)'!D42,Tabell3[Konto],$B$25)</f>
        <v>0</v>
      </c>
      <c r="I42" s="18">
        <f t="shared" si="18"/>
        <v>0</v>
      </c>
      <c r="J42" s="4">
        <f t="shared" si="19"/>
        <v>0</v>
      </c>
      <c r="K42" s="4">
        <f t="shared" si="20"/>
        <v>0</v>
      </c>
      <c r="L42" s="2"/>
      <c r="N42" s="2" t="s">
        <v>143</v>
      </c>
      <c r="O42" s="2"/>
      <c r="P42" s="11">
        <f>P40+P41</f>
        <v>0</v>
      </c>
    </row>
    <row r="43" spans="3:24">
      <c r="D43" s="6" t="str">
        <f>Resor</f>
        <v>Resor</v>
      </c>
      <c r="E43" s="4">
        <f>SUMIFS(Tabell3[Belopp],Tabell3[Vad],'Siffror (Rör ej)'!D43,Tabell3[Konto],'Siffror (Rör ej)'!$B$22)</f>
        <v>0</v>
      </c>
      <c r="F43" s="4">
        <f>SUMIFS(Tabell3[Belopp],Tabell3[Vad],'Siffror (Rör ej)'!D43,Tabell3[Konto],$B$21)</f>
        <v>0</v>
      </c>
      <c r="G43" s="4">
        <f>SUMIFS(Tabell3[Belopp],Tabell3[Vad],'Siffror (Rör ej)'!D43,Tabell3[Konto],$B$24)</f>
        <v>0</v>
      </c>
      <c r="H43" s="4">
        <f>SUMIFS(Tabell3[Belopp],Tabell3[Vad],'Siffror (Rör ej)'!D43,Tabell3[Konto],$B$23)</f>
        <v>0</v>
      </c>
      <c r="I43" s="9">
        <f t="shared" si="18"/>
        <v>0</v>
      </c>
      <c r="J43" s="4">
        <f t="shared" si="19"/>
        <v>0</v>
      </c>
      <c r="K43" s="4">
        <f t="shared" si="20"/>
        <v>0</v>
      </c>
      <c r="L43" s="2"/>
      <c r="N43" s="2"/>
      <c r="O43" s="2"/>
      <c r="P43" s="9"/>
    </row>
    <row r="44" spans="3:24">
      <c r="D44" s="6" t="str">
        <f>Kårrum</f>
        <v>Kårrum</v>
      </c>
      <c r="E44" s="4">
        <f>SUMIFS(Tabell3[Belopp],Tabell3[Vad],'Siffror (Rör ej)'!D44,Tabell3[Konto],'Siffror (Rör ej)'!$B$22)</f>
        <v>0</v>
      </c>
      <c r="F44" s="4">
        <f>SUMIFS(Tabell3[Belopp],Tabell3[Vad],'Siffror (Rör ej)'!D44,Tabell3[Konto],$B$21)</f>
        <v>0</v>
      </c>
      <c r="G44" s="4">
        <f>SUMIFS(Tabell3[Belopp],Tabell3[Vad],'Siffror (Rör ej)'!D44,Tabell3[Konto],$B$24)</f>
        <v>0</v>
      </c>
      <c r="H44" s="4">
        <f>SUMIFS(Tabell3[Belopp],Tabell3[Vad],'Siffror (Rör ej)'!D44,Tabell3[Konto],$B$23)</f>
        <v>0</v>
      </c>
      <c r="I44" s="9">
        <f t="shared" si="18"/>
        <v>0</v>
      </c>
      <c r="J44" s="4">
        <f t="shared" si="19"/>
        <v>0</v>
      </c>
      <c r="K44" s="4">
        <f t="shared" si="20"/>
        <v>0</v>
      </c>
      <c r="L44" s="2"/>
      <c r="N44" s="2" t="s">
        <v>144</v>
      </c>
      <c r="O44" s="2"/>
      <c r="P44" s="11">
        <f>BankUt3</f>
        <v>0</v>
      </c>
    </row>
    <row r="45" spans="3:24">
      <c r="D45" s="6" t="str">
        <f>BidragFrånSverigesElevkårer</f>
        <v>Bidrag från Sveriges Elevkårer</v>
      </c>
      <c r="E45" s="4">
        <f>SUMIFS(Tabell3[Belopp],Tabell3[Vad],'Siffror (Rör ej)'!D45,Tabell3[Konto],'Siffror (Rör ej)'!$B$22)</f>
        <v>0</v>
      </c>
      <c r="F45" s="4">
        <f>SUMIFS(Tabell3[Belopp],Tabell3[Vad],'Siffror (Rör ej)'!D45,Tabell3[Konto],$B$21)</f>
        <v>0</v>
      </c>
      <c r="G45" s="4">
        <f>SUMIFS(Tabell3[Belopp],Tabell3[Vad],'Siffror (Rör ej)'!D45,Tabell3[Konto],$B$24)</f>
        <v>0</v>
      </c>
      <c r="H45" s="4">
        <f>SUMIFS(Tabell3[Belopp],Tabell3[Vad],'Siffror (Rör ej)'!D45,Tabell3[Konto],$B$23)</f>
        <v>0</v>
      </c>
      <c r="I45" s="9">
        <f t="shared" si="18"/>
        <v>0</v>
      </c>
      <c r="J45" s="4">
        <f t="shared" si="19"/>
        <v>0</v>
      </c>
      <c r="K45" s="4">
        <f t="shared" si="20"/>
        <v>0</v>
      </c>
      <c r="L45" s="2"/>
      <c r="N45" s="2" t="s">
        <v>145</v>
      </c>
      <c r="O45" s="2"/>
      <c r="P45" s="11">
        <f>KassaUt3</f>
        <v>0</v>
      </c>
    </row>
    <row r="46" spans="3:24">
      <c r="D46" s="6" t="str">
        <f>BidragFrånSkolan</f>
        <v>Bidrag från skolan</v>
      </c>
      <c r="E46" s="4">
        <f>SUMIFS(Tabell3[Belopp],Tabell3[Vad],'Siffror (Rör ej)'!D46,Tabell3[Konto],'Siffror (Rör ej)'!$B$22)</f>
        <v>0</v>
      </c>
      <c r="F46" s="4">
        <f>SUMIFS(Tabell3[Belopp],Tabell3[Vad],'Siffror (Rör ej)'!D46,Tabell3[Konto],$B$21)</f>
        <v>0</v>
      </c>
      <c r="G46" s="4">
        <f>SUMIFS(Tabell3[Belopp],Tabell3[Vad],'Siffror (Rör ej)'!D46,Tabell3[Konto],$B$24)</f>
        <v>0</v>
      </c>
      <c r="H46" s="4">
        <f>SUMIFS(Tabell3[Belopp],Tabell3[Vad],'Siffror (Rör ej)'!D46,Tabell3[Konto],$B$23)</f>
        <v>0</v>
      </c>
      <c r="I46" s="9">
        <f t="shared" si="18"/>
        <v>0</v>
      </c>
      <c r="J46" s="4">
        <f t="shared" si="19"/>
        <v>0</v>
      </c>
      <c r="K46" s="4">
        <f t="shared" si="20"/>
        <v>0</v>
      </c>
      <c r="L46" s="2"/>
      <c r="N46" s="2" t="s">
        <v>146</v>
      </c>
      <c r="O46" s="2"/>
      <c r="P46" s="11">
        <f>P44+P45</f>
        <v>0</v>
      </c>
    </row>
    <row r="47" spans="3:24">
      <c r="D47" s="6" t="str">
        <f>ÖvrigaBidragOchSponsring</f>
        <v>Övriga bidrag/sponsring</v>
      </c>
      <c r="E47" s="4">
        <f>SUMIFS(Tabell3[Belopp],Tabell3[Vad],'Siffror (Rör ej)'!D47,Tabell3[Konto],'Siffror (Rör ej)'!$B$22)</f>
        <v>0</v>
      </c>
      <c r="F47" s="4">
        <f>SUMIFS(Tabell3[Belopp],Tabell3[Vad],'Siffror (Rör ej)'!D47,Tabell3[Konto],$B$21)</f>
        <v>0</v>
      </c>
      <c r="G47" s="4">
        <f>SUMIFS(Tabell3[Belopp],Tabell3[Vad],'Siffror (Rör ej)'!D47,Tabell3[Konto],$B$24)</f>
        <v>0</v>
      </c>
      <c r="H47" s="4">
        <f>SUMIFS(Tabell3[Belopp],Tabell3[Vad],'Siffror (Rör ej)'!D47,Tabell3[Konto],$B$23)</f>
        <v>0</v>
      </c>
      <c r="I47" s="9">
        <f t="shared" si="18"/>
        <v>0</v>
      </c>
      <c r="J47" s="4">
        <f t="shared" si="19"/>
        <v>0</v>
      </c>
      <c r="K47" s="4">
        <f t="shared" si="20"/>
        <v>0</v>
      </c>
      <c r="L47" s="2"/>
      <c r="N47" s="2"/>
      <c r="O47" s="2"/>
      <c r="P47" s="9"/>
    </row>
    <row r="48" spans="3:24">
      <c r="D48" s="6" t="str">
        <f>Medlemsavgift</f>
        <v>Medlemsavgift</v>
      </c>
      <c r="E48" s="4">
        <f>SUMIFS(Tabell3[Belopp],Tabell3[Vad],'Siffror (Rör ej)'!D48,Tabell3[Konto],'Siffror (Rör ej)'!$B$22)</f>
        <v>0</v>
      </c>
      <c r="F48" s="4">
        <f>SUMIFS(Tabell3[Belopp],Tabell3[Vad],'Siffror (Rör ej)'!D48,Tabell3[Konto],$B$21)</f>
        <v>0</v>
      </c>
      <c r="G48" s="4">
        <f>SUMIFS(Tabell3[Belopp],Tabell3[Vad],'Siffror (Rör ej)'!D48,Tabell3[Konto],$B$24)</f>
        <v>0</v>
      </c>
      <c r="H48" s="4">
        <f>SUMIFS(Tabell3[Belopp],Tabell3[Vad],'Siffror (Rör ej)'!D48,Tabell3[Konto],$B$23)</f>
        <v>0</v>
      </c>
      <c r="I48" s="9">
        <f t="shared" si="18"/>
        <v>0</v>
      </c>
      <c r="J48" s="4">
        <f t="shared" si="19"/>
        <v>0</v>
      </c>
      <c r="K48" s="4">
        <f t="shared" si="20"/>
        <v>0</v>
      </c>
      <c r="L48" s="2"/>
      <c r="N48" s="2" t="s">
        <v>147</v>
      </c>
      <c r="O48" s="2"/>
      <c r="P48" s="11">
        <f>P42-P46</f>
        <v>0</v>
      </c>
    </row>
    <row r="49" spans="3:16">
      <c r="D49" s="6" t="str">
        <f>Övrigt</f>
        <v>Övrigt</v>
      </c>
      <c r="E49" s="4">
        <f>SUMIFS(Tabell3[Belopp],Tabell3[Vad],'Siffror (Rör ej)'!D49,Tabell3[Konto],'Siffror (Rör ej)'!$B$22)</f>
        <v>0</v>
      </c>
      <c r="F49" s="4">
        <f>SUMIFS(Tabell3[Belopp],Tabell3[Vad],'Siffror (Rör ej)'!D49,Tabell3[Konto],$B$21)</f>
        <v>0</v>
      </c>
      <c r="G49" s="4">
        <f>SUMIFS(Tabell3[Belopp],Tabell3[Vad],'Siffror (Rör ej)'!D49,Tabell3[Konto],$B$24)</f>
        <v>0</v>
      </c>
      <c r="H49" s="4">
        <f>SUMIFS(Tabell3[Belopp],Tabell3[Vad],'Siffror (Rör ej)'!D49,Tabell3[Konto],$B$23)</f>
        <v>0</v>
      </c>
      <c r="I49" s="9">
        <f t="shared" si="18"/>
        <v>0</v>
      </c>
      <c r="J49" s="4">
        <f t="shared" si="19"/>
        <v>0</v>
      </c>
      <c r="K49" s="4">
        <f t="shared" si="20"/>
        <v>0</v>
      </c>
      <c r="L49" s="2"/>
      <c r="N49" s="2"/>
      <c r="O49" s="2"/>
      <c r="P49" s="2"/>
    </row>
    <row r="50" spans="3:16">
      <c r="D50" s="10" t="s">
        <v>148</v>
      </c>
      <c r="E50" s="7">
        <f t="shared" ref="E50:K50" si="21">SUM(E37:E49)</f>
        <v>0</v>
      </c>
      <c r="F50" s="7">
        <f t="shared" si="21"/>
        <v>0</v>
      </c>
      <c r="G50" s="7">
        <f t="shared" si="21"/>
        <v>0</v>
      </c>
      <c r="H50" s="7">
        <f t="shared" si="21"/>
        <v>0</v>
      </c>
      <c r="I50" s="9">
        <f t="shared" si="21"/>
        <v>0</v>
      </c>
      <c r="J50" s="9">
        <f t="shared" si="21"/>
        <v>0</v>
      </c>
      <c r="K50" s="9">
        <f t="shared" si="21"/>
        <v>0</v>
      </c>
      <c r="L50" s="2"/>
      <c r="N50" s="2"/>
      <c r="O50" s="2"/>
      <c r="P50" s="2"/>
    </row>
    <row r="52" spans="3:16" ht="23.45">
      <c r="C52" s="133" t="s">
        <v>96</v>
      </c>
      <c r="D52" s="133"/>
      <c r="E52" s="5" t="s">
        <v>12</v>
      </c>
      <c r="F52" s="5" t="s">
        <v>18</v>
      </c>
      <c r="G52" s="5" t="s">
        <v>16</v>
      </c>
      <c r="H52" s="5" t="s">
        <v>14</v>
      </c>
      <c r="I52" s="5" t="s">
        <v>69</v>
      </c>
      <c r="J52" s="1" t="s">
        <v>138</v>
      </c>
      <c r="K52" s="1" t="s">
        <v>139</v>
      </c>
    </row>
    <row r="53" spans="3:16">
      <c r="D53" s="6" t="str">
        <f>Event</f>
        <v>Event</v>
      </c>
      <c r="E53" s="4">
        <f>SUMIFS(Tabell4[Belopp],Tabell4[Vad],'Siffror (Rör ej)'!D53,Tabell4[Konto],'Siffror (Rör ej)'!$B$22)</f>
        <v>0</v>
      </c>
      <c r="F53" s="4">
        <f>SUMIFS(Tabell4[Belopp],Tabell4[Vad],'Siffror (Rör ej)'!D53,Tabell4[Konto],$B$21)</f>
        <v>0</v>
      </c>
      <c r="G53" s="4">
        <f>SUMIFS(Tabell4[Belopp],Tabell4[Vad],'Siffror (Rör ej)'!D53,Tabell4[Konto],$B$24)</f>
        <v>0</v>
      </c>
      <c r="H53" s="4">
        <f>SUMIFS(Tabell4[Belopp],Tabell4[Vad],'Siffror (Rör ej)'!D53,Tabell4[Konto],$B$23)</f>
        <v>0</v>
      </c>
      <c r="I53" s="9">
        <f t="shared" ref="I53:I65" si="22">SUM(E53:H53)</f>
        <v>0</v>
      </c>
      <c r="J53" s="4">
        <f>H53-G53</f>
        <v>0</v>
      </c>
      <c r="K53" s="4">
        <f>F53-E53</f>
        <v>0</v>
      </c>
      <c r="L53" s="2"/>
      <c r="N53" s="136" t="s">
        <v>152</v>
      </c>
      <c r="O53" s="136"/>
      <c r="P53" s="136"/>
    </row>
    <row r="54" spans="3:16">
      <c r="D54" s="6" t="str">
        <f>Lobbying</f>
        <v>Lobbying</v>
      </c>
      <c r="E54" s="4">
        <f>SUMIFS(Tabell4[Belopp],Tabell4[Vad],'Siffror (Rör ej)'!D54,Tabell4[Konto],'Siffror (Rör ej)'!$B$22)</f>
        <v>0</v>
      </c>
      <c r="F54" s="4">
        <f>SUMIFS(Tabell4[Belopp],Tabell4[Vad],'Siffror (Rör ej)'!D54,Tabell4[Konto],$B$21)</f>
        <v>0</v>
      </c>
      <c r="G54" s="4">
        <f>SUMIFS(Tabell4[Belopp],Tabell4[Vad],'Siffror (Rör ej)'!D54,Tabell4[Konto],$B$24)</f>
        <v>0</v>
      </c>
      <c r="H54" s="4">
        <f>SUMIFS(Tabell4[Belopp],Tabell4[Vad],'Siffror (Rör ej)'!D54,Tabell4[Konto],$B$23)</f>
        <v>0</v>
      </c>
      <c r="I54" s="9">
        <f t="shared" si="22"/>
        <v>0</v>
      </c>
      <c r="J54" s="4">
        <f t="shared" ref="J54:J65" si="23">H54-G54</f>
        <v>0</v>
      </c>
      <c r="K54" s="4">
        <f t="shared" ref="K54:K65" si="24">F54-E54</f>
        <v>0</v>
      </c>
      <c r="L54" s="2"/>
      <c r="N54" s="136"/>
      <c r="O54" s="136"/>
      <c r="P54" s="136"/>
    </row>
    <row r="55" spans="3:16">
      <c r="D55" s="6" t="str">
        <f>Bildning</f>
        <v>Bildning</v>
      </c>
      <c r="E55" s="4">
        <f>SUMIFS(Tabell4[Belopp],Tabell4[Vad],'Siffror (Rör ej)'!D55,Tabell4[Konto],'Siffror (Rör ej)'!$B$22)</f>
        <v>0</v>
      </c>
      <c r="F55" s="4">
        <f>SUMIFS(Tabell4[Belopp],Tabell4[Vad],'Siffror (Rör ej)'!D55,Tabell4[Konto],$B$21)</f>
        <v>0</v>
      </c>
      <c r="G55" s="4">
        <f>SUMIFS(Tabell4[Belopp],Tabell4[Vad],'Siffror (Rör ej)'!D55,Tabell4[Konto],$B$24)</f>
        <v>0</v>
      </c>
      <c r="H55" s="4">
        <f>SUMIFS(Tabell4[Belopp],Tabell4[Vad],'Siffror (Rör ej)'!D55,Tabell4[Konto],$B$23)</f>
        <v>0</v>
      </c>
      <c r="I55" s="9">
        <f t="shared" si="22"/>
        <v>0</v>
      </c>
      <c r="J55" s="4">
        <f t="shared" si="23"/>
        <v>0</v>
      </c>
      <c r="K55" s="4">
        <f t="shared" si="24"/>
        <v>0</v>
      </c>
      <c r="L55" s="2"/>
    </row>
    <row r="56" spans="3:16">
      <c r="D56" s="6" t="str">
        <f>Service</f>
        <v>Service</v>
      </c>
      <c r="E56" s="4">
        <f>SUMIFS(Tabell4[Belopp],Tabell4[Vad],'Siffror (Rör ej)'!D56,Tabell4[Konto],'Siffror (Rör ej)'!$B$22)</f>
        <v>0</v>
      </c>
      <c r="F56" s="4">
        <f>SUMIFS(Tabell4[Belopp],Tabell4[Vad],'Siffror (Rör ej)'!D56,Tabell4[Konto],$B$21)</f>
        <v>0</v>
      </c>
      <c r="G56" s="4">
        <f>SUMIFS(Tabell4[Belopp],Tabell4[Vad],'Siffror (Rör ej)'!D56,Tabell4[Konto],$B$24)</f>
        <v>0</v>
      </c>
      <c r="H56" s="4">
        <f>SUMIFS(Tabell4[Belopp],Tabell4[Vad],'Siffror (Rör ej)'!D56,Tabell4[Konto],$B$23)</f>
        <v>0</v>
      </c>
      <c r="I56" s="9">
        <f t="shared" si="22"/>
        <v>0</v>
      </c>
      <c r="J56" s="4">
        <f t="shared" si="23"/>
        <v>0</v>
      </c>
      <c r="K56" s="4">
        <f t="shared" si="24"/>
        <v>0</v>
      </c>
      <c r="L56" s="2"/>
      <c r="N56" s="2" t="s">
        <v>141</v>
      </c>
      <c r="O56" s="2"/>
      <c r="P56" s="11">
        <f>BankIn4</f>
        <v>0</v>
      </c>
    </row>
    <row r="57" spans="3:16">
      <c r="D57" s="6" t="str">
        <f>Föreningar</f>
        <v>Föreningar/Utskott</v>
      </c>
      <c r="E57" s="4">
        <f>SUMIFS(Tabell4[Belopp],Tabell4[Vad],'Siffror (Rör ej)'!D57,Tabell4[Konto],'Siffror (Rör ej)'!$B$22)</f>
        <v>0</v>
      </c>
      <c r="F57" s="4">
        <f>SUMIFS(Tabell4[Belopp],Tabell4[Vad],'Siffror (Rör ej)'!D57,Tabell4[Konto],$B$21)</f>
        <v>0</v>
      </c>
      <c r="G57" s="4">
        <f>SUMIFS(Tabell4[Belopp],Tabell4[Vad],'Siffror (Rör ej)'!D57,Tabell4[Konto],$B$24)</f>
        <v>0</v>
      </c>
      <c r="H57" s="4">
        <f>SUMIFS(Tabell4[Belopp],Tabell4[Vad],'Siffror (Rör ej)'!D57,Tabell4[Konto],$B$23)</f>
        <v>0</v>
      </c>
      <c r="I57" s="9">
        <f t="shared" si="22"/>
        <v>0</v>
      </c>
      <c r="J57" s="4">
        <f t="shared" si="23"/>
        <v>0</v>
      </c>
      <c r="K57" s="4">
        <f t="shared" si="24"/>
        <v>0</v>
      </c>
      <c r="L57" s="2"/>
      <c r="N57" s="2" t="s">
        <v>142</v>
      </c>
      <c r="O57" s="2"/>
      <c r="P57" s="11">
        <f>Kassain4</f>
        <v>0</v>
      </c>
    </row>
    <row r="58" spans="3:16">
      <c r="D58" s="13" t="str">
        <f>InsättningarochUttag</f>
        <v>Insättning/Uttag</v>
      </c>
      <c r="E58" s="4">
        <f>SUMIFS(Tabell4[Belopp],Tabell4[Vad],'Siffror (Rör ej)'!D58,Tabell4[Konto],'Siffror (Rör ej)'!$B$22)</f>
        <v>0</v>
      </c>
      <c r="F58" s="4">
        <f>SUMIFS(Tabell4[Belopp],Tabell4[Vad],'Siffror (Rör ej)'!D58,Tabell4[Konto],$B$21)</f>
        <v>0</v>
      </c>
      <c r="G58" s="4">
        <f>SUMIFS(Tabell4[Belopp],Tabell4[Vad],'Siffror (Rör ej)'!D58,Tabell4[Konto],$B$24)</f>
        <v>0</v>
      </c>
      <c r="H58" s="4">
        <f>SUMIFS(Tabell4[Belopp],Tabell4[Vad],'Siffror (Rör ej)'!D58,Tabell4[Konto],$B$23)</f>
        <v>0</v>
      </c>
      <c r="I58" s="18">
        <f t="shared" si="22"/>
        <v>0</v>
      </c>
      <c r="J58" s="4">
        <f t="shared" si="23"/>
        <v>0</v>
      </c>
      <c r="K58" s="4">
        <f t="shared" si="24"/>
        <v>0</v>
      </c>
      <c r="L58" s="2"/>
      <c r="N58" s="2" t="s">
        <v>143</v>
      </c>
      <c r="O58" s="2"/>
      <c r="P58" s="11">
        <f>P56+P57</f>
        <v>0</v>
      </c>
    </row>
    <row r="59" spans="3:16">
      <c r="D59" s="6" t="str">
        <f>Resor</f>
        <v>Resor</v>
      </c>
      <c r="E59" s="4">
        <f>SUMIFS(Tabell4[Belopp],Tabell4[Vad],'Siffror (Rör ej)'!D59,Tabell4[Konto],'Siffror (Rör ej)'!$B$22)</f>
        <v>0</v>
      </c>
      <c r="F59" s="4">
        <f>SUMIFS(Tabell4[Belopp],Tabell4[Vad],'Siffror (Rör ej)'!D59,Tabell4[Konto],$B$21)</f>
        <v>0</v>
      </c>
      <c r="G59" s="4">
        <f>SUMIFS(Tabell4[Belopp],Tabell4[Vad],'Siffror (Rör ej)'!D59,Tabell4[Konto],$B$24)</f>
        <v>0</v>
      </c>
      <c r="H59" s="4">
        <f>SUMIFS(Tabell4[Belopp],Tabell4[Vad],'Siffror (Rör ej)'!D59,Tabell4[Konto],$B$23)</f>
        <v>0</v>
      </c>
      <c r="I59" s="9">
        <f t="shared" si="22"/>
        <v>0</v>
      </c>
      <c r="J59" s="4">
        <f t="shared" si="23"/>
        <v>0</v>
      </c>
      <c r="K59" s="4">
        <f t="shared" si="24"/>
        <v>0</v>
      </c>
      <c r="L59" s="2"/>
      <c r="N59" s="2"/>
      <c r="O59" s="2"/>
      <c r="P59" s="9"/>
    </row>
    <row r="60" spans="3:16">
      <c r="D60" s="6" t="str">
        <f>Kårrum</f>
        <v>Kårrum</v>
      </c>
      <c r="E60" s="4">
        <f>SUMIFS(Tabell4[Belopp],Tabell4[Vad],'Siffror (Rör ej)'!D60,Tabell4[Konto],'Siffror (Rör ej)'!$B$22)</f>
        <v>0</v>
      </c>
      <c r="F60" s="4">
        <f>SUMIFS(Tabell4[Belopp],Tabell4[Vad],'Siffror (Rör ej)'!D60,Tabell4[Konto],$B$21)</f>
        <v>0</v>
      </c>
      <c r="G60" s="4">
        <f>SUMIFS(Tabell4[Belopp],Tabell4[Vad],'Siffror (Rör ej)'!D60,Tabell4[Konto],$B$24)</f>
        <v>0</v>
      </c>
      <c r="H60" s="4">
        <f>SUMIFS(Tabell4[Belopp],Tabell4[Vad],'Siffror (Rör ej)'!D60,Tabell4[Konto],$B$23)</f>
        <v>0</v>
      </c>
      <c r="I60" s="9">
        <f t="shared" si="22"/>
        <v>0</v>
      </c>
      <c r="J60" s="4">
        <f t="shared" si="23"/>
        <v>0</v>
      </c>
      <c r="K60" s="4">
        <f t="shared" si="24"/>
        <v>0</v>
      </c>
      <c r="L60" s="2"/>
      <c r="N60" s="2" t="s">
        <v>144</v>
      </c>
      <c r="O60" s="2"/>
      <c r="P60" s="11">
        <f>Bankut4</f>
        <v>0</v>
      </c>
    </row>
    <row r="61" spans="3:16">
      <c r="D61" s="6" t="str">
        <f>BidragFrånSverigesElevkårer</f>
        <v>Bidrag från Sveriges Elevkårer</v>
      </c>
      <c r="E61" s="4">
        <f>SUMIFS(Tabell4[Belopp],Tabell4[Vad],'Siffror (Rör ej)'!D61,Tabell4[Konto],'Siffror (Rör ej)'!$B$22)</f>
        <v>0</v>
      </c>
      <c r="F61" s="4">
        <f>SUMIFS(Tabell4[Belopp],Tabell4[Vad],'Siffror (Rör ej)'!D61,Tabell4[Konto],$B$21)</f>
        <v>0</v>
      </c>
      <c r="G61" s="4">
        <f>SUMIFS(Tabell4[Belopp],Tabell4[Vad],'Siffror (Rör ej)'!D61,Tabell4[Konto],$B$24)</f>
        <v>0</v>
      </c>
      <c r="H61" s="4">
        <f>SUMIFS(Tabell4[Belopp],Tabell4[Vad],'Siffror (Rör ej)'!D61,Tabell4[Konto],$B$23)</f>
        <v>0</v>
      </c>
      <c r="I61" s="9">
        <f t="shared" si="22"/>
        <v>0</v>
      </c>
      <c r="J61" s="4">
        <f t="shared" si="23"/>
        <v>0</v>
      </c>
      <c r="K61" s="4">
        <f t="shared" si="24"/>
        <v>0</v>
      </c>
      <c r="L61" s="2"/>
      <c r="N61" s="2" t="s">
        <v>145</v>
      </c>
      <c r="O61" s="2"/>
      <c r="P61" s="11">
        <f>Kassaut4</f>
        <v>0</v>
      </c>
    </row>
    <row r="62" spans="3:16">
      <c r="D62" s="6" t="str">
        <f>BidragFrånSkolan</f>
        <v>Bidrag från skolan</v>
      </c>
      <c r="E62" s="4">
        <f>SUMIFS(Tabell4[Belopp],Tabell4[Vad],'Siffror (Rör ej)'!D62,Tabell4[Konto],'Siffror (Rör ej)'!$B$22)</f>
        <v>0</v>
      </c>
      <c r="F62" s="4">
        <f>SUMIFS(Tabell4[Belopp],Tabell4[Vad],'Siffror (Rör ej)'!D62,Tabell4[Konto],$B$21)</f>
        <v>0</v>
      </c>
      <c r="G62" s="4">
        <f>SUMIFS(Tabell4[Belopp],Tabell4[Vad],'Siffror (Rör ej)'!D62,Tabell4[Konto],$B$24)</f>
        <v>0</v>
      </c>
      <c r="H62" s="4">
        <f>SUMIFS(Tabell4[Belopp],Tabell4[Vad],'Siffror (Rör ej)'!D62,Tabell4[Konto],$B$23)</f>
        <v>0</v>
      </c>
      <c r="I62" s="9">
        <f t="shared" si="22"/>
        <v>0</v>
      </c>
      <c r="J62" s="4">
        <f t="shared" si="23"/>
        <v>0</v>
      </c>
      <c r="K62" s="4">
        <f t="shared" si="24"/>
        <v>0</v>
      </c>
      <c r="L62" s="2"/>
      <c r="N62" s="2" t="s">
        <v>146</v>
      </c>
      <c r="O62" s="2"/>
      <c r="P62" s="11">
        <f>P60+P61</f>
        <v>0</v>
      </c>
    </row>
    <row r="63" spans="3:16">
      <c r="D63" s="6" t="str">
        <f>ÖvrigaBidragOchSponsring</f>
        <v>Övriga bidrag/sponsring</v>
      </c>
      <c r="E63" s="4">
        <f>SUMIFS(Tabell4[Belopp],Tabell4[Vad],'Siffror (Rör ej)'!D63,Tabell4[Konto],'Siffror (Rör ej)'!$B$22)</f>
        <v>0</v>
      </c>
      <c r="F63" s="4">
        <f>SUMIFS(Tabell4[Belopp],Tabell4[Vad],'Siffror (Rör ej)'!D63,Tabell4[Konto],$B$21)</f>
        <v>0</v>
      </c>
      <c r="G63" s="4">
        <f>SUMIFS(Tabell4[Belopp],Tabell4[Vad],'Siffror (Rör ej)'!D63,Tabell4[Konto],$B$24)</f>
        <v>0</v>
      </c>
      <c r="H63" s="4">
        <f>SUMIFS(Tabell4[Belopp],Tabell4[Vad],'Siffror (Rör ej)'!D63,Tabell4[Konto],$B$23)</f>
        <v>0</v>
      </c>
      <c r="I63" s="9">
        <f t="shared" si="22"/>
        <v>0</v>
      </c>
      <c r="J63" s="4">
        <f t="shared" si="23"/>
        <v>0</v>
      </c>
      <c r="K63" s="4">
        <f t="shared" si="24"/>
        <v>0</v>
      </c>
      <c r="L63" s="2"/>
      <c r="N63" s="2"/>
      <c r="O63" s="2"/>
      <c r="P63" s="9"/>
    </row>
    <row r="64" spans="3:16">
      <c r="D64" s="6" t="str">
        <f>Medlemsavgift</f>
        <v>Medlemsavgift</v>
      </c>
      <c r="E64" s="4">
        <f>SUMIFS(Tabell4[Belopp],Tabell4[Vad],'Siffror (Rör ej)'!D64,Tabell4[Konto],'Siffror (Rör ej)'!$B$22)</f>
        <v>0</v>
      </c>
      <c r="F64" s="4">
        <f>SUMIFS(Tabell4[Belopp],Tabell4[Vad],'Siffror (Rör ej)'!D64,Tabell4[Konto],$B$21)</f>
        <v>0</v>
      </c>
      <c r="G64" s="4">
        <f>SUMIFS(Tabell4[Belopp],Tabell4[Vad],'Siffror (Rör ej)'!D64,Tabell4[Konto],$B$24)</f>
        <v>0</v>
      </c>
      <c r="H64" s="4">
        <f>SUMIFS(Tabell4[Belopp],Tabell4[Vad],'Siffror (Rör ej)'!D64,Tabell4[Konto],$B$23)</f>
        <v>0</v>
      </c>
      <c r="I64" s="9">
        <f t="shared" si="22"/>
        <v>0</v>
      </c>
      <c r="J64" s="4">
        <f t="shared" si="23"/>
        <v>0</v>
      </c>
      <c r="K64" s="4">
        <f t="shared" si="24"/>
        <v>0</v>
      </c>
      <c r="L64" s="2"/>
      <c r="N64" s="2" t="s">
        <v>147</v>
      </c>
      <c r="O64" s="2"/>
      <c r="P64" s="11">
        <f>P58-P62</f>
        <v>0</v>
      </c>
    </row>
    <row r="65" spans="4:16">
      <c r="D65" s="6" t="str">
        <f>Övrigt</f>
        <v>Övrigt</v>
      </c>
      <c r="E65" s="4">
        <f>SUMIFS(Tabell4[Belopp],Tabell4[Vad],'Siffror (Rör ej)'!D65,Tabell4[Konto],'Siffror (Rör ej)'!$B$22)</f>
        <v>0</v>
      </c>
      <c r="F65" s="4">
        <f>SUMIFS(Tabell4[Belopp],Tabell4[Vad],'Siffror (Rör ej)'!D65,Tabell4[Konto],$B$21)</f>
        <v>0</v>
      </c>
      <c r="G65" s="4">
        <f>SUMIFS(Tabell4[Belopp],Tabell4[Vad],'Siffror (Rör ej)'!D65,Tabell4[Konto],$B$24)</f>
        <v>0</v>
      </c>
      <c r="H65" s="4">
        <f>SUMIFS(Tabell4[Belopp],Tabell4[Vad],'Siffror (Rör ej)'!D65,Tabell4[Konto],$B$23)</f>
        <v>0</v>
      </c>
      <c r="I65" s="9">
        <f t="shared" si="22"/>
        <v>0</v>
      </c>
      <c r="J65" s="4">
        <f t="shared" si="23"/>
        <v>0</v>
      </c>
      <c r="K65" s="4">
        <f t="shared" si="24"/>
        <v>0</v>
      </c>
      <c r="L65" s="2"/>
      <c r="N65" s="2"/>
      <c r="O65" s="2"/>
      <c r="P65" s="2"/>
    </row>
    <row r="66" spans="4:16">
      <c r="D66" s="10" t="s">
        <v>148</v>
      </c>
      <c r="E66" s="7">
        <f t="shared" ref="E66:K66" si="25">SUM(E53:E65)</f>
        <v>0</v>
      </c>
      <c r="F66" s="7">
        <f t="shared" si="25"/>
        <v>0</v>
      </c>
      <c r="G66" s="7">
        <f t="shared" si="25"/>
        <v>0</v>
      </c>
      <c r="H66" s="7">
        <f t="shared" si="25"/>
        <v>0</v>
      </c>
      <c r="I66" s="9">
        <f t="shared" si="25"/>
        <v>0</v>
      </c>
      <c r="J66" s="9">
        <f t="shared" si="25"/>
        <v>0</v>
      </c>
      <c r="K66" s="9">
        <f t="shared" si="25"/>
        <v>0</v>
      </c>
      <c r="L66" s="2"/>
      <c r="N66" s="2"/>
      <c r="O66" s="2"/>
      <c r="P66" s="2"/>
    </row>
    <row r="69" spans="4:16">
      <c r="N69" s="2"/>
      <c r="O69" s="2"/>
      <c r="P69" s="2"/>
    </row>
    <row r="70" spans="4:16">
      <c r="N70" s="2" t="s">
        <v>153</v>
      </c>
      <c r="O70" s="2"/>
      <c r="P70" s="2">
        <f>TotalaBankintäkter1+TotalaBankintäkter2+TotalaBankintäkter3+TotalaBankintäkter4</f>
        <v>0</v>
      </c>
    </row>
    <row r="71" spans="4:16">
      <c r="N71" s="2" t="s">
        <v>154</v>
      </c>
      <c r="O71" s="2"/>
      <c r="P71" s="2">
        <f>TotalaKassaintäkter1+TotalaKassaintäkter2+TotalaKassaintäkter3+TotalaKassaintäkter4</f>
        <v>0</v>
      </c>
    </row>
    <row r="72" spans="4:16">
      <c r="N72" s="2"/>
      <c r="O72" s="2"/>
      <c r="P72" s="2"/>
    </row>
    <row r="73" spans="4:16">
      <c r="N73" s="2" t="s">
        <v>155</v>
      </c>
      <c r="O73" s="2"/>
      <c r="P73" s="2">
        <f>TotalaBankutgifter1+TotalaBankutgifter2+TotalaBankutgifter3+TotalaBankutgifter4</f>
        <v>0</v>
      </c>
    </row>
    <row r="74" spans="4:16">
      <c r="N74" s="2" t="s">
        <v>156</v>
      </c>
      <c r="O74" s="2"/>
      <c r="P74" s="2">
        <f>TotalaKassautgifter1+TotalaKassautgifter2+TotalaKassautgifter3+TotalaKassautgifter4</f>
        <v>0</v>
      </c>
    </row>
    <row r="75" spans="4:16">
      <c r="N75" s="2"/>
      <c r="O75" s="2"/>
      <c r="P75" s="2"/>
    </row>
    <row r="76" spans="4:16">
      <c r="N76" s="2"/>
      <c r="O76" s="2"/>
      <c r="P76" s="2"/>
    </row>
    <row r="77" spans="4:16">
      <c r="N77" s="2"/>
      <c r="O77" s="2"/>
      <c r="P77" s="2"/>
    </row>
  </sheetData>
  <sheetProtection algorithmName="SHA-512" hashValue="JHtOStZARSVlHQ4u71fo1c2hg69Ub6ydxKsxgvivyUSfinIEOrg6yYNDbVFHgngHzTvWIA61MSh8N2MrzZlZ0A==" saltValue="mLdrr5bbUa/s9p5+Gs7n8w==" spinCount="100000" sheet="1" objects="1" scenarios="1" selectLockedCells="1" selectUnlockedCells="1"/>
  <mergeCells count="24">
    <mergeCell ref="V29:X31"/>
    <mergeCell ref="Z21:AB23"/>
    <mergeCell ref="Z25:AB27"/>
    <mergeCell ref="AC2:AD2"/>
    <mergeCell ref="U2:V2"/>
    <mergeCell ref="W2:X2"/>
    <mergeCell ref="V21:X23"/>
    <mergeCell ref="V25:X27"/>
    <mergeCell ref="C52:D52"/>
    <mergeCell ref="AA2:AB2"/>
    <mergeCell ref="R33:T35"/>
    <mergeCell ref="V33:X35"/>
    <mergeCell ref="N53:P54"/>
    <mergeCell ref="C20:D20"/>
    <mergeCell ref="C36:D36"/>
    <mergeCell ref="N21:P22"/>
    <mergeCell ref="B3:D3"/>
    <mergeCell ref="R21:T23"/>
    <mergeCell ref="R25:T27"/>
    <mergeCell ref="R29:T31"/>
    <mergeCell ref="Z29:AB31"/>
    <mergeCell ref="N37:P38"/>
    <mergeCell ref="N4:P5"/>
    <mergeCell ref="Y2:Z2"/>
  </mergeCells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workbookViewId="0">
      <selection activeCell="C8" sqref="C8"/>
    </sheetView>
  </sheetViews>
  <sheetFormatPr defaultColWidth="8.85546875" defaultRowHeight="14.45"/>
  <cols>
    <col min="2" max="2" width="12.140625" customWidth="1"/>
    <col min="3" max="3" width="11.42578125" customWidth="1"/>
    <col min="4" max="4" width="11.85546875" customWidth="1"/>
    <col min="5" max="5" width="9.85546875" bestFit="1" customWidth="1"/>
  </cols>
  <sheetData>
    <row r="1" spans="1:7">
      <c r="A1" t="s">
        <v>157</v>
      </c>
      <c r="B1">
        <v>1</v>
      </c>
      <c r="C1">
        <v>2</v>
      </c>
      <c r="D1">
        <v>3</v>
      </c>
      <c r="E1">
        <v>4</v>
      </c>
    </row>
    <row r="2" spans="1:7">
      <c r="B2" s="16">
        <f>MAX('Siffror (Rör ej)'!U4:U8,'Siffror (Rör ej)'!U10:U16)</f>
        <v>0</v>
      </c>
      <c r="C2" s="16">
        <f>MAX('Siffror (Rör ej)'!W4:W8,'Siffror (Rör ej)'!W10:W16)</f>
        <v>0</v>
      </c>
      <c r="D2" s="16">
        <f>MAX('Siffror (Rör ej)'!Y4:Y8,'Siffror (Rör ej)'!Y10:Y16)</f>
        <v>0</v>
      </c>
      <c r="E2" s="16">
        <f>MAX('Siffror (Rör ej)'!AA4:AA8,'Siffror (Rör ej)'!AA10:AA16)</f>
        <v>0</v>
      </c>
      <c r="F2" s="16"/>
    </row>
    <row r="3" spans="1:7">
      <c r="A3" t="s">
        <v>158</v>
      </c>
      <c r="B3">
        <v>1</v>
      </c>
      <c r="C3">
        <v>2</v>
      </c>
      <c r="D3">
        <v>3</v>
      </c>
      <c r="E3">
        <v>4</v>
      </c>
    </row>
    <row r="4" spans="1:7">
      <c r="B4" s="16">
        <f>MAX('Siffror (Rör ej)'!V4:V8,'Siffror (Rör ej)'!V10:V16)</f>
        <v>0</v>
      </c>
      <c r="C4" s="16">
        <f>MAX('Siffror (Rör ej)'!X4:X8,'Siffror (Rör ej)'!X10:X16)</f>
        <v>0</v>
      </c>
      <c r="D4" s="16">
        <f>MAX('Siffror (Rör ej)'!Z4:Z8,'Siffror (Rör ej)'!Z10:Z16)</f>
        <v>0</v>
      </c>
      <c r="E4" s="16">
        <f>MAX('Siffror (Rör ej)'!AB4:AB8,'Siffror (Rör ej)'!AB10:AB16)</f>
        <v>0</v>
      </c>
    </row>
    <row r="5" spans="1:7">
      <c r="A5" t="s">
        <v>74</v>
      </c>
      <c r="B5" t="s">
        <v>159</v>
      </c>
      <c r="C5" t="s">
        <v>160</v>
      </c>
    </row>
    <row r="6" spans="1:7">
      <c r="B6">
        <f>MAX('Siffror (Rör ej)'!AC4:AC8,'Siffror (Rör ej)'!AC10:AC16)</f>
        <v>0</v>
      </c>
      <c r="C6">
        <f>MAX('Siffror (Rör ej)'!AD4:AD8,'Siffror (Rör ej)'!AD10:AD16)</f>
        <v>0</v>
      </c>
    </row>
    <row r="8" spans="1:7">
      <c r="B8" t="s">
        <v>161</v>
      </c>
      <c r="C8">
        <f>SUMIF(Översikt!Q17,"JA",Översikt!Q21)</f>
        <v>0</v>
      </c>
      <c r="D8" t="str">
        <f>IF(ISBLANK(Översikt!Q21),"tom","ifylld")</f>
        <v>tom</v>
      </c>
      <c r="E8">
        <f>IF(Översikt!Q17="Ja",1,0)</f>
        <v>0</v>
      </c>
      <c r="F8" t="str">
        <f>IF(Översikt!Q17="Ja",IF(ISNUMBER(Översikt!Q21)=TRUE,"Rätt","Fel"),IF(ISBLANK(Översikt!Q17)=TRUE,"Tom",IF(Översikt!Q17="Nej","Nej")))</f>
        <v>Nej</v>
      </c>
      <c r="G8">
        <f>COUNTIFS(Svar1,1,D8,"ifylld")</f>
        <v>0</v>
      </c>
    </row>
    <row r="9" spans="1:7">
      <c r="B9" t="s">
        <v>105</v>
      </c>
      <c r="C9">
        <f>SUMIF(Översikt!Q25,"JA",Översikt!Q29)</f>
        <v>0</v>
      </c>
      <c r="D9" t="str">
        <f>IF(ISBLANK(Översikt!Q29),"tom","ifylld")</f>
        <v>tom</v>
      </c>
      <c r="E9">
        <f>IF(Översikt!Q25="Ja",1,0)</f>
        <v>0</v>
      </c>
      <c r="F9" t="str">
        <f>IF(Översikt!Q25="Ja",IF(ISNUMBER(Översikt!Q29)=TRUE,"Rätt","Fel"),IF(ISBLANK(Översikt!Q25)=TRUE,"Tom",IF(Översikt!Q25="Nej","Nej")))</f>
        <v>Nej</v>
      </c>
      <c r="G9">
        <f>COUNTIFS(Svar1,1,D9,"ifylld")</f>
        <v>0</v>
      </c>
    </row>
    <row r="11" spans="1:7">
      <c r="C11">
        <v>2018</v>
      </c>
      <c r="D11">
        <v>2019</v>
      </c>
      <c r="E11" t="s">
        <v>162</v>
      </c>
      <c r="F11" t="str">
        <f>CONCATENATE(C11,$E$11,D11)</f>
        <v>2018 / 2019</v>
      </c>
    </row>
    <row r="12" spans="1:7">
      <c r="C12">
        <v>2019</v>
      </c>
      <c r="D12">
        <v>2020</v>
      </c>
      <c r="F12" t="str">
        <f t="shared" ref="F12:F38" si="0">CONCATENATE(C12,$E$11,D12)</f>
        <v>2019 / 2020</v>
      </c>
    </row>
    <row r="13" spans="1:7">
      <c r="C13">
        <v>2020</v>
      </c>
      <c r="D13">
        <v>2021</v>
      </c>
      <c r="F13" t="str">
        <f t="shared" si="0"/>
        <v>2020 / 2021</v>
      </c>
    </row>
    <row r="14" spans="1:7">
      <c r="C14">
        <v>2021</v>
      </c>
      <c r="D14">
        <v>2022</v>
      </c>
      <c r="F14" t="str">
        <f t="shared" si="0"/>
        <v>2021 / 2022</v>
      </c>
    </row>
    <row r="15" spans="1:7">
      <c r="C15">
        <v>2022</v>
      </c>
      <c r="D15">
        <v>2023</v>
      </c>
      <c r="F15" t="str">
        <f t="shared" si="0"/>
        <v>2022 / 2023</v>
      </c>
    </row>
    <row r="16" spans="1:7">
      <c r="C16">
        <v>2023</v>
      </c>
      <c r="D16">
        <v>2024</v>
      </c>
      <c r="F16" t="str">
        <f t="shared" si="0"/>
        <v>2023 / 2024</v>
      </c>
    </row>
    <row r="17" spans="3:6">
      <c r="C17">
        <v>2024</v>
      </c>
      <c r="D17">
        <v>2025</v>
      </c>
      <c r="F17" t="str">
        <f t="shared" si="0"/>
        <v>2024 / 2025</v>
      </c>
    </row>
    <row r="18" spans="3:6">
      <c r="C18">
        <v>2025</v>
      </c>
      <c r="D18">
        <v>2026</v>
      </c>
      <c r="F18" t="str">
        <f t="shared" si="0"/>
        <v>2025 / 2026</v>
      </c>
    </row>
    <row r="19" spans="3:6">
      <c r="C19">
        <v>2026</v>
      </c>
      <c r="D19">
        <v>2027</v>
      </c>
      <c r="F19" t="str">
        <f t="shared" si="0"/>
        <v>2026 / 2027</v>
      </c>
    </row>
    <row r="20" spans="3:6">
      <c r="C20">
        <v>2027</v>
      </c>
      <c r="D20">
        <v>2028</v>
      </c>
      <c r="F20" t="str">
        <f t="shared" si="0"/>
        <v>2027 / 2028</v>
      </c>
    </row>
    <row r="21" spans="3:6">
      <c r="C21">
        <v>2028</v>
      </c>
      <c r="D21">
        <v>2029</v>
      </c>
      <c r="F21" t="str">
        <f t="shared" si="0"/>
        <v>2028 / 2029</v>
      </c>
    </row>
    <row r="22" spans="3:6">
      <c r="C22">
        <v>2029</v>
      </c>
      <c r="D22">
        <v>2030</v>
      </c>
      <c r="F22" t="str">
        <f t="shared" si="0"/>
        <v>2029 / 2030</v>
      </c>
    </row>
    <row r="23" spans="3:6">
      <c r="C23">
        <v>2030</v>
      </c>
      <c r="D23">
        <v>2031</v>
      </c>
      <c r="F23" t="str">
        <f t="shared" si="0"/>
        <v>2030 / 2031</v>
      </c>
    </row>
    <row r="24" spans="3:6">
      <c r="C24">
        <v>2031</v>
      </c>
      <c r="D24">
        <v>2032</v>
      </c>
      <c r="F24" t="str">
        <f t="shared" si="0"/>
        <v>2031 / 2032</v>
      </c>
    </row>
    <row r="25" spans="3:6">
      <c r="C25">
        <v>2032</v>
      </c>
      <c r="D25">
        <v>2033</v>
      </c>
      <c r="F25" t="str">
        <f t="shared" si="0"/>
        <v>2032 / 2033</v>
      </c>
    </row>
    <row r="26" spans="3:6">
      <c r="C26">
        <v>2033</v>
      </c>
      <c r="D26">
        <v>2034</v>
      </c>
      <c r="F26" t="str">
        <f t="shared" si="0"/>
        <v>2033 / 2034</v>
      </c>
    </row>
    <row r="27" spans="3:6">
      <c r="C27">
        <v>2034</v>
      </c>
      <c r="D27">
        <v>2035</v>
      </c>
      <c r="F27" t="str">
        <f t="shared" si="0"/>
        <v>2034 / 2035</v>
      </c>
    </row>
    <row r="28" spans="3:6">
      <c r="C28">
        <v>2035</v>
      </c>
      <c r="D28">
        <v>2036</v>
      </c>
      <c r="F28" t="str">
        <f t="shared" si="0"/>
        <v>2035 / 2036</v>
      </c>
    </row>
    <row r="29" spans="3:6">
      <c r="C29">
        <v>2036</v>
      </c>
      <c r="D29">
        <v>2037</v>
      </c>
      <c r="F29" t="str">
        <f t="shared" si="0"/>
        <v>2036 / 2037</v>
      </c>
    </row>
    <row r="30" spans="3:6">
      <c r="C30">
        <v>2037</v>
      </c>
      <c r="D30">
        <v>2038</v>
      </c>
      <c r="F30" t="str">
        <f t="shared" si="0"/>
        <v>2037 / 2038</v>
      </c>
    </row>
    <row r="31" spans="3:6">
      <c r="C31">
        <v>2038</v>
      </c>
      <c r="D31">
        <v>2039</v>
      </c>
      <c r="F31" t="str">
        <f t="shared" si="0"/>
        <v>2038 / 2039</v>
      </c>
    </row>
    <row r="32" spans="3:6">
      <c r="C32">
        <v>2039</v>
      </c>
      <c r="D32">
        <v>2040</v>
      </c>
      <c r="F32" t="str">
        <f t="shared" si="0"/>
        <v>2039 / 2040</v>
      </c>
    </row>
    <row r="33" spans="3:6">
      <c r="C33">
        <v>2040</v>
      </c>
      <c r="D33">
        <v>2041</v>
      </c>
      <c r="F33" t="str">
        <f t="shared" si="0"/>
        <v>2040 / 2041</v>
      </c>
    </row>
    <row r="34" spans="3:6">
      <c r="C34">
        <v>2041</v>
      </c>
      <c r="D34">
        <v>2042</v>
      </c>
      <c r="F34" t="str">
        <f t="shared" si="0"/>
        <v>2041 / 2042</v>
      </c>
    </row>
    <row r="35" spans="3:6">
      <c r="C35">
        <v>2042</v>
      </c>
      <c r="D35">
        <v>2043</v>
      </c>
      <c r="F35" t="str">
        <f t="shared" si="0"/>
        <v>2042 / 2043</v>
      </c>
    </row>
    <row r="36" spans="3:6">
      <c r="C36">
        <v>2043</v>
      </c>
      <c r="D36">
        <v>2044</v>
      </c>
      <c r="F36" t="str">
        <f t="shared" si="0"/>
        <v>2043 / 2044</v>
      </c>
    </row>
    <row r="37" spans="3:6">
      <c r="C37">
        <v>2044</v>
      </c>
      <c r="D37">
        <v>2045</v>
      </c>
      <c r="F37" t="str">
        <f t="shared" si="0"/>
        <v>2044 / 2045</v>
      </c>
    </row>
    <row r="38" spans="3:6">
      <c r="C38">
        <v>2045</v>
      </c>
      <c r="D38">
        <v>2046</v>
      </c>
      <c r="F38" t="str">
        <f t="shared" si="0"/>
        <v>2045 / 2046</v>
      </c>
    </row>
  </sheetData>
  <sheetProtection algorithmName="SHA-512" hashValue="HDnfXnyMj1qoludzQbdvdpgNCbjFrwj5JqcZ2YvsfA8veEzbgcG9fjH8vGx4CaqvDD8XOMSONcNUvCkPtYe1jQ==" saltValue="WfFqoCgHotbv6FfFCBVZz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EBC6-143A-4C6D-A731-CD5A26907711}">
  <dimension ref="B2:H63"/>
  <sheetViews>
    <sheetView zoomScale="90" zoomScaleNormal="90" workbookViewId="0">
      <selection activeCell="C36" sqref="C36"/>
    </sheetView>
  </sheetViews>
  <sheetFormatPr defaultColWidth="8.5703125" defaultRowHeight="14.1"/>
  <cols>
    <col min="1" max="1" width="8.5703125" style="24"/>
    <col min="2" max="2" width="27" style="24" customWidth="1"/>
    <col min="3" max="3" width="27.42578125" style="24" customWidth="1"/>
    <col min="4" max="4" width="14.140625" style="24" customWidth="1"/>
    <col min="5" max="5" width="4.5703125" style="24" customWidth="1"/>
    <col min="6" max="6" width="13.140625" style="24" customWidth="1"/>
    <col min="7" max="7" width="16.5703125" style="24" customWidth="1"/>
    <col min="8" max="8" width="12.42578125" style="24" customWidth="1"/>
    <col min="9" max="16384" width="8.5703125" style="24"/>
  </cols>
  <sheetData>
    <row r="2" spans="2:8">
      <c r="B2" s="82" t="s">
        <v>68</v>
      </c>
      <c r="C2" s="82"/>
      <c r="D2" s="82" t="s">
        <v>69</v>
      </c>
      <c r="E2" s="82"/>
      <c r="F2" s="82"/>
      <c r="G2" s="82"/>
      <c r="H2" s="82"/>
    </row>
    <row r="3" spans="2:8">
      <c r="B3" s="82"/>
      <c r="C3" s="82"/>
      <c r="D3" s="82"/>
      <c r="E3" s="82"/>
      <c r="F3" s="82"/>
      <c r="G3" s="82"/>
      <c r="H3" s="82"/>
    </row>
    <row r="4" spans="2:8">
      <c r="B4" s="82"/>
      <c r="C4" s="82"/>
      <c r="D4" s="82"/>
      <c r="E4" s="82"/>
      <c r="F4" s="82"/>
      <c r="G4" s="82"/>
      <c r="H4" s="82"/>
    </row>
    <row r="5" spans="2:8">
      <c r="B5" s="82"/>
      <c r="C5" s="82"/>
      <c r="D5" s="82"/>
      <c r="E5" s="82"/>
      <c r="F5" s="82"/>
      <c r="G5" s="82"/>
      <c r="H5" s="82"/>
    </row>
    <row r="6" spans="2:8">
      <c r="B6" s="26"/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54" t="s">
        <v>70</v>
      </c>
      <c r="C8" s="55">
        <f>IngåendeBankkonto+ResultatBank1</f>
        <v>0</v>
      </c>
      <c r="D8" s="83" t="s">
        <v>71</v>
      </c>
      <c r="E8" s="83"/>
      <c r="F8" s="84">
        <f>BankIn1+KassaIn1-InsättningBankIn1-InsättningKassain1</f>
        <v>0</v>
      </c>
      <c r="G8" s="84"/>
      <c r="H8" s="26"/>
    </row>
    <row r="9" spans="2:8">
      <c r="B9" s="54" t="s">
        <v>72</v>
      </c>
      <c r="C9" s="56">
        <f>IngåendeHandkassa+ResultatKassa1</f>
        <v>0</v>
      </c>
      <c r="D9" s="57" t="s">
        <v>73</v>
      </c>
      <c r="E9" s="57"/>
      <c r="F9" s="85">
        <f>BankUt1+KassaUt1-InsättningBankUt1-InsättningKassaUt1</f>
        <v>0</v>
      </c>
      <c r="G9" s="85"/>
      <c r="H9" s="26"/>
    </row>
    <row r="10" spans="2:8">
      <c r="B10" s="54" t="s">
        <v>74</v>
      </c>
      <c r="C10" s="58">
        <f>SUM(C8:C9)</f>
        <v>0</v>
      </c>
      <c r="D10" s="57" t="s">
        <v>69</v>
      </c>
      <c r="E10" s="57"/>
      <c r="F10" s="81">
        <f>F8-F9</f>
        <v>0</v>
      </c>
      <c r="G10" s="81"/>
      <c r="H10" s="26"/>
    </row>
    <row r="11" spans="2:8">
      <c r="B11" s="26"/>
      <c r="C11" s="26"/>
      <c r="D11" s="26"/>
      <c r="E11" s="26"/>
      <c r="F11" s="26"/>
      <c r="G11" s="26"/>
      <c r="H11" s="26"/>
    </row>
    <row r="13" spans="2:8">
      <c r="B13" s="59" t="s">
        <v>2</v>
      </c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</row>
    <row r="14" spans="2:8">
      <c r="B14" s="61" t="s">
        <v>75</v>
      </c>
      <c r="C14" s="61" t="s">
        <v>76</v>
      </c>
      <c r="D14" s="62">
        <v>43495</v>
      </c>
      <c r="E14" s="35">
        <v>1</v>
      </c>
      <c r="F14" s="61" t="s">
        <v>12</v>
      </c>
      <c r="G14" s="63">
        <v>1234</v>
      </c>
      <c r="H14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15" spans="2:8">
      <c r="B15" s="61" t="s">
        <v>42</v>
      </c>
      <c r="C15" s="61" t="s">
        <v>77</v>
      </c>
      <c r="D15" s="62">
        <v>43506</v>
      </c>
      <c r="E15" s="35">
        <v>2</v>
      </c>
      <c r="F15" s="61" t="s">
        <v>18</v>
      </c>
      <c r="G15" s="63">
        <v>21000</v>
      </c>
      <c r="H15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16" spans="2:8">
      <c r="B16" s="61" t="s">
        <v>10</v>
      </c>
      <c r="C16" s="61" t="s">
        <v>78</v>
      </c>
      <c r="D16" s="62">
        <v>43508</v>
      </c>
      <c r="E16" s="35">
        <v>3</v>
      </c>
      <c r="F16" s="61" t="s">
        <v>12</v>
      </c>
      <c r="G16" s="63">
        <v>10000</v>
      </c>
      <c r="H16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17" spans="2:8">
      <c r="B17" s="61" t="s">
        <v>10</v>
      </c>
      <c r="C17" s="61" t="s">
        <v>79</v>
      </c>
      <c r="D17" s="62">
        <v>43510</v>
      </c>
      <c r="E17" s="35">
        <v>4</v>
      </c>
      <c r="F17" s="61" t="s">
        <v>12</v>
      </c>
      <c r="G17" s="63">
        <v>800</v>
      </c>
      <c r="H17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18" spans="2:8">
      <c r="B18" s="61" t="s">
        <v>30</v>
      </c>
      <c r="C18" s="61" t="s">
        <v>80</v>
      </c>
      <c r="D18" s="62">
        <v>43513</v>
      </c>
      <c r="E18" s="35">
        <v>5</v>
      </c>
      <c r="F18" s="61" t="s">
        <v>12</v>
      </c>
      <c r="G18" s="63">
        <v>4000</v>
      </c>
      <c r="H18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19" spans="2:8">
      <c r="B19" s="61" t="s">
        <v>10</v>
      </c>
      <c r="C19" s="61" t="s">
        <v>81</v>
      </c>
      <c r="D19" s="62">
        <v>43517</v>
      </c>
      <c r="E19" s="35">
        <v>6</v>
      </c>
      <c r="F19" s="61" t="s">
        <v>18</v>
      </c>
      <c r="G19" s="63">
        <v>5000</v>
      </c>
      <c r="H19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0" spans="2:8">
      <c r="B20" s="61" t="s">
        <v>10</v>
      </c>
      <c r="C20" s="61" t="s">
        <v>81</v>
      </c>
      <c r="D20" s="62">
        <v>43517</v>
      </c>
      <c r="E20" s="35">
        <v>7</v>
      </c>
      <c r="F20" s="61" t="s">
        <v>14</v>
      </c>
      <c r="G20" s="63">
        <v>2000</v>
      </c>
      <c r="H20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1" spans="2:8">
      <c r="B21" s="61" t="s">
        <v>26</v>
      </c>
      <c r="C21" s="61" t="s">
        <v>82</v>
      </c>
      <c r="D21" s="62">
        <v>43520</v>
      </c>
      <c r="E21" s="35">
        <v>8</v>
      </c>
      <c r="F21" s="61" t="s">
        <v>16</v>
      </c>
      <c r="G21" s="63">
        <v>400</v>
      </c>
      <c r="H21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2" spans="2:8">
      <c r="B22" s="61" t="s">
        <v>30</v>
      </c>
      <c r="C22" s="61" t="s">
        <v>83</v>
      </c>
      <c r="D22" s="62">
        <v>43525</v>
      </c>
      <c r="E22" s="35">
        <v>9</v>
      </c>
      <c r="F22" s="61" t="s">
        <v>18</v>
      </c>
      <c r="G22" s="63">
        <v>5000</v>
      </c>
      <c r="H22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3" spans="2:8">
      <c r="B23" s="61" t="s">
        <v>30</v>
      </c>
      <c r="C23" s="61" t="s">
        <v>84</v>
      </c>
      <c r="D23" s="62">
        <v>43527</v>
      </c>
      <c r="E23" s="35">
        <v>10</v>
      </c>
      <c r="F23" s="61" t="s">
        <v>18</v>
      </c>
      <c r="G23" s="63">
        <v>10000</v>
      </c>
      <c r="H23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4" spans="2:8">
      <c r="B24" s="61" t="s">
        <v>28</v>
      </c>
      <c r="C24" s="61" t="s">
        <v>85</v>
      </c>
      <c r="D24" s="62">
        <v>43532</v>
      </c>
      <c r="E24" s="35">
        <v>11</v>
      </c>
      <c r="F24" s="61" t="s">
        <v>12</v>
      </c>
      <c r="G24" s="63">
        <v>20000</v>
      </c>
      <c r="H24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5" spans="2:8">
      <c r="B25" s="61" t="s">
        <v>38</v>
      </c>
      <c r="C25" s="61" t="s">
        <v>86</v>
      </c>
      <c r="D25" s="62">
        <v>43534</v>
      </c>
      <c r="E25" s="35">
        <v>12</v>
      </c>
      <c r="F25" s="61" t="s">
        <v>12</v>
      </c>
      <c r="G25" s="63">
        <v>30</v>
      </c>
      <c r="H25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6" spans="2:8">
      <c r="B26" s="61" t="s">
        <v>34</v>
      </c>
      <c r="C26" s="61" t="s">
        <v>87</v>
      </c>
      <c r="D26" s="62">
        <v>43537</v>
      </c>
      <c r="E26" s="35">
        <v>13</v>
      </c>
      <c r="F26" s="61" t="s">
        <v>21</v>
      </c>
      <c r="G26" s="63">
        <v>1600</v>
      </c>
      <c r="H26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7" spans="2:8">
      <c r="B27" s="61" t="s">
        <v>36</v>
      </c>
      <c r="C27" s="61" t="s">
        <v>88</v>
      </c>
      <c r="D27" s="62">
        <v>43560</v>
      </c>
      <c r="E27" s="35">
        <v>14</v>
      </c>
      <c r="F27" s="61" t="s">
        <v>12</v>
      </c>
      <c r="G27" s="63">
        <v>1200</v>
      </c>
      <c r="H27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8" spans="2:8">
      <c r="B28" s="61" t="s">
        <v>40</v>
      </c>
      <c r="C28" s="61" t="s">
        <v>89</v>
      </c>
      <c r="D28" s="62">
        <v>43580</v>
      </c>
      <c r="E28" s="35">
        <v>15</v>
      </c>
      <c r="F28" s="61" t="s">
        <v>18</v>
      </c>
      <c r="G28" s="63">
        <v>1000</v>
      </c>
      <c r="H28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Rätt</v>
      </c>
    </row>
    <row r="29" spans="2:8">
      <c r="B29" s="61" t="s">
        <v>42</v>
      </c>
      <c r="C29" s="61" t="s">
        <v>90</v>
      </c>
      <c r="D29" s="62">
        <v>43581</v>
      </c>
      <c r="E29" s="35">
        <v>16</v>
      </c>
      <c r="F29" s="61" t="s">
        <v>12</v>
      </c>
      <c r="G29" s="63">
        <v>100</v>
      </c>
      <c r="H29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>Dubbelkolla</v>
      </c>
    </row>
    <row r="30" spans="2:8">
      <c r="B30" s="61"/>
      <c r="C30" s="61"/>
      <c r="D30" s="62"/>
      <c r="E30" s="35">
        <v>17</v>
      </c>
      <c r="F30" s="61"/>
      <c r="G30" s="63"/>
      <c r="H30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1" spans="2:8">
      <c r="B31" s="61"/>
      <c r="C31" s="61"/>
      <c r="D31" s="62"/>
      <c r="E31" s="35">
        <v>18</v>
      </c>
      <c r="F31" s="61"/>
      <c r="G31" s="63"/>
      <c r="H31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2" spans="2:8">
      <c r="B32" s="61"/>
      <c r="C32" s="61"/>
      <c r="D32" s="62"/>
      <c r="E32" s="35">
        <v>19</v>
      </c>
      <c r="F32" s="61"/>
      <c r="G32" s="63"/>
      <c r="H32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3" spans="2:8">
      <c r="B33" s="61"/>
      <c r="C33" s="61"/>
      <c r="D33" s="62"/>
      <c r="E33" s="35">
        <v>20</v>
      </c>
      <c r="F33" s="61"/>
      <c r="G33" s="63"/>
      <c r="H33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4" spans="2:8">
      <c r="B34" s="61"/>
      <c r="C34" s="61"/>
      <c r="D34" s="62"/>
      <c r="E34" s="35">
        <v>21</v>
      </c>
      <c r="F34" s="61"/>
      <c r="G34" s="63"/>
      <c r="H34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5" spans="2:8">
      <c r="B35" s="61"/>
      <c r="C35" s="61"/>
      <c r="D35" s="62"/>
      <c r="E35" s="35">
        <v>22</v>
      </c>
      <c r="F35" s="61"/>
      <c r="G35" s="63"/>
      <c r="H35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6" spans="2:8">
      <c r="B36" s="61"/>
      <c r="C36" s="61"/>
      <c r="D36" s="62"/>
      <c r="E36" s="35">
        <v>23</v>
      </c>
      <c r="F36" s="61"/>
      <c r="G36" s="63"/>
      <c r="H36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7" spans="2:8">
      <c r="B37" s="61"/>
      <c r="C37" s="61"/>
      <c r="D37" s="62"/>
      <c r="E37" s="35">
        <v>24</v>
      </c>
      <c r="F37" s="61"/>
      <c r="G37" s="63"/>
      <c r="H37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8" spans="2:8">
      <c r="B38" s="61"/>
      <c r="C38" s="61"/>
      <c r="D38" s="62"/>
      <c r="E38" s="35">
        <v>25</v>
      </c>
      <c r="F38" s="61"/>
      <c r="G38" s="63"/>
      <c r="H38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39" spans="2:8">
      <c r="B39" s="61"/>
      <c r="C39" s="61"/>
      <c r="D39" s="62"/>
      <c r="E39" s="35">
        <v>26</v>
      </c>
      <c r="F39" s="61"/>
      <c r="G39" s="63"/>
      <c r="H39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0" spans="2:8">
      <c r="B40" s="61"/>
      <c r="C40" s="61"/>
      <c r="D40" s="62"/>
      <c r="E40" s="35">
        <v>27</v>
      </c>
      <c r="F40" s="61"/>
      <c r="G40" s="63"/>
      <c r="H40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1" spans="2:8">
      <c r="B41" s="61"/>
      <c r="C41" s="61"/>
      <c r="D41" s="62"/>
      <c r="E41" s="35">
        <v>28</v>
      </c>
      <c r="F41" s="61"/>
      <c r="G41" s="63"/>
      <c r="H41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2" spans="2:8">
      <c r="B42" s="61"/>
      <c r="C42" s="61"/>
      <c r="D42" s="62"/>
      <c r="E42" s="35">
        <v>29</v>
      </c>
      <c r="F42" s="61"/>
      <c r="G42" s="63"/>
      <c r="H42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3" spans="2:8">
      <c r="B43" s="61"/>
      <c r="C43" s="61"/>
      <c r="D43" s="62"/>
      <c r="E43" s="35">
        <v>30</v>
      </c>
      <c r="F43" s="61"/>
      <c r="G43" s="63"/>
      <c r="H43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4" spans="2:8">
      <c r="B44" s="61"/>
      <c r="C44" s="61"/>
      <c r="D44" s="62"/>
      <c r="E44" s="35">
        <v>31</v>
      </c>
      <c r="F44" s="61"/>
      <c r="G44" s="63"/>
      <c r="H44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5" spans="2:8">
      <c r="B45" s="61"/>
      <c r="C45" s="61"/>
      <c r="D45" s="62"/>
      <c r="E45" s="35">
        <v>32</v>
      </c>
      <c r="F45" s="61"/>
      <c r="G45" s="63"/>
      <c r="H45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6" spans="2:8">
      <c r="B46" s="61"/>
      <c r="C46" s="61"/>
      <c r="D46" s="62"/>
      <c r="E46" s="35">
        <v>33</v>
      </c>
      <c r="F46" s="61"/>
      <c r="G46" s="63"/>
      <c r="H46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7" spans="2:8">
      <c r="B47" s="61"/>
      <c r="C47" s="61"/>
      <c r="D47" s="62"/>
      <c r="E47" s="35">
        <v>34</v>
      </c>
      <c r="F47" s="61"/>
      <c r="G47" s="63"/>
      <c r="H47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8" spans="2:8">
      <c r="B48" s="61"/>
      <c r="C48" s="61"/>
      <c r="D48" s="62"/>
      <c r="E48" s="35">
        <v>35</v>
      </c>
      <c r="F48" s="61"/>
      <c r="G48" s="63"/>
      <c r="H48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49" spans="2:8">
      <c r="B49" s="61"/>
      <c r="C49" s="61"/>
      <c r="D49" s="62"/>
      <c r="E49" s="35">
        <v>36</v>
      </c>
      <c r="F49" s="61"/>
      <c r="G49" s="63"/>
      <c r="H49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0" spans="2:8">
      <c r="B50" s="61"/>
      <c r="C50" s="61"/>
      <c r="D50" s="62"/>
      <c r="E50" s="35">
        <v>37</v>
      </c>
      <c r="F50" s="61"/>
      <c r="G50" s="63"/>
      <c r="H50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1" spans="2:8">
      <c r="B51" s="61"/>
      <c r="C51" s="61"/>
      <c r="D51" s="62"/>
      <c r="E51" s="35">
        <v>38</v>
      </c>
      <c r="F51" s="61"/>
      <c r="G51" s="63"/>
      <c r="H51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2" spans="2:8">
      <c r="B52" s="61"/>
      <c r="C52" s="61"/>
      <c r="D52" s="62"/>
      <c r="E52" s="35">
        <v>39</v>
      </c>
      <c r="F52" s="61"/>
      <c r="G52" s="63"/>
      <c r="H52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3" spans="2:8">
      <c r="B53" s="61"/>
      <c r="C53" s="61"/>
      <c r="D53" s="62"/>
      <c r="E53" s="35">
        <v>40</v>
      </c>
      <c r="F53" s="61"/>
      <c r="G53" s="63"/>
      <c r="H53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4" spans="2:8">
      <c r="B54" s="61"/>
      <c r="C54" s="61"/>
      <c r="D54" s="62"/>
      <c r="E54" s="35">
        <v>41</v>
      </c>
      <c r="F54" s="61"/>
      <c r="G54" s="63"/>
      <c r="H54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5" spans="2:8">
      <c r="B55" s="61"/>
      <c r="C55" s="61"/>
      <c r="D55" s="62"/>
      <c r="E55" s="35">
        <v>42</v>
      </c>
      <c r="F55" s="61"/>
      <c r="G55" s="63"/>
      <c r="H55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6" spans="2:8">
      <c r="B56" s="61"/>
      <c r="C56" s="61"/>
      <c r="D56" s="62"/>
      <c r="E56" s="35">
        <v>43</v>
      </c>
      <c r="F56" s="61"/>
      <c r="G56" s="63"/>
      <c r="H56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7" spans="2:8">
      <c r="B57" s="61"/>
      <c r="C57" s="61"/>
      <c r="D57" s="62"/>
      <c r="E57" s="35">
        <v>44</v>
      </c>
      <c r="F57" s="61"/>
      <c r="G57" s="63"/>
      <c r="H57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8" spans="2:8">
      <c r="B58" s="61"/>
      <c r="C58" s="61"/>
      <c r="D58" s="62"/>
      <c r="E58" s="35">
        <v>45</v>
      </c>
      <c r="F58" s="61"/>
      <c r="G58" s="63"/>
      <c r="H58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59" spans="2:8">
      <c r="B59" s="61"/>
      <c r="C59" s="61"/>
      <c r="D59" s="62"/>
      <c r="E59" s="35">
        <v>46</v>
      </c>
      <c r="F59" s="61"/>
      <c r="G59" s="63"/>
      <c r="H59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60" spans="2:8">
      <c r="B60" s="61"/>
      <c r="C60" s="61"/>
      <c r="D60" s="62"/>
      <c r="E60" s="35">
        <v>47</v>
      </c>
      <c r="F60" s="61"/>
      <c r="G60" s="63"/>
      <c r="H60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61" spans="2:8">
      <c r="B61" s="61"/>
      <c r="C61" s="61"/>
      <c r="D61" s="62"/>
      <c r="E61" s="35">
        <v>48</v>
      </c>
      <c r="F61" s="61"/>
      <c r="G61" s="63"/>
      <c r="H61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62" spans="2:8">
      <c r="B62" s="61"/>
      <c r="C62" s="61"/>
      <c r="D62" s="62"/>
      <c r="E62" s="35">
        <v>49</v>
      </c>
      <c r="F62" s="61"/>
      <c r="G62" s="63"/>
      <c r="H62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  <row r="63" spans="2:8">
      <c r="B63" s="61"/>
      <c r="C63" s="61"/>
      <c r="D63" s="62"/>
      <c r="E63" s="35">
        <v>50</v>
      </c>
      <c r="F63" s="61"/>
      <c r="G63" s="63"/>
      <c r="H63" s="35" t="str">
        <f>IF(ISBLANK(Tabell16[[#This Row],[Vad]]),"",IF(ISBLANK(Tabell16[[#This Row],[Datum]]),"Fyll i datum",IF(ISBLANK(Tabell16[[#This Row],[Konto]]),"Fyll i konto",IF(ISBLANK(Tabell16[[#This Row],[Belopp]]),"Fyll i belopp",IF(OR(Tabell16[[#This Row],[Konto]]="Bank till Kassa",Tabell16[[#This Row],[Konto]]="Kassa till Bank"),IF(Tabell16[[#This Row],[Vad]]="Insättning/Uttag","Rätt","Fel"),IF(Tabell16[[#This Row],[Vad]]="Insättning/Uttag",IF(OR(Tabell16[[#This Row],[Konto]]="Kassa till Bank",Tabell16[[#This Row],[Konto]]="Bank till Kassa"),"Rätt","Fel"),IF(OR(Tabell16[[#This Row],[Vad]]="Bidrag från Sveriges Elevkårer",Tabell16[[#This Row],[Vad]]="Bidrag från skolan",Tabell16[[#This Row],[Vad]]="Övriga bidrag/sponsring"),IF(Tabell16[[#This Row],[Konto]]="Bank in","Rätt","Dubbelkolla"),"Rätt")))))))</f>
        <v/>
      </c>
    </row>
  </sheetData>
  <sheetProtection algorithmName="SHA-512" hashValue="kK2otzzIG2/z+q/KnR9skt8m9GPD3YWir4VWGq8WEiVE22TpqSxt63TA1weLG05d7UeKJQ2DXphmdxA+UPRQrg==" saltValue="w9RwbtMAlDyERs1ucz6haQ==" spinCount="100000" sheet="1" objects="1" scenarios="1" selectLockedCells="1" selectUnlockedCells="1"/>
  <mergeCells count="6">
    <mergeCell ref="F10:G10"/>
    <mergeCell ref="B2:C5"/>
    <mergeCell ref="D2:H5"/>
    <mergeCell ref="D8:E8"/>
    <mergeCell ref="F8:G8"/>
    <mergeCell ref="F9:G9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71C62A-3BEF-4E18-A9E2-BF881338BBF4}">
          <x14:formula1>
            <xm:f>'Siffror (Rör ej)'!$D$4:$D$16</xm:f>
          </x14:formula1>
          <xm:sqref>B14:B63</xm:sqref>
        </x14:dataValidation>
        <x14:dataValidation type="list" allowBlank="1" showInputMessage="1" showErrorMessage="1" xr:uid="{9CD89FAA-8B0B-44EC-9919-30251D3EF6BE}">
          <x14:formula1>
            <xm:f>'Siffror (Rör ej)'!$B$21:$B$26</xm:f>
          </x14:formula1>
          <xm:sqref>F14:F63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50"/>
  <sheetViews>
    <sheetView zoomScale="80" zoomScaleNormal="80" workbookViewId="0">
      <selection activeCell="Q29" sqref="Q29:R29"/>
    </sheetView>
  </sheetViews>
  <sheetFormatPr defaultColWidth="8.5703125" defaultRowHeight="14.1"/>
  <cols>
    <col min="1" max="1" width="7.85546875" style="24" customWidth="1"/>
    <col min="2" max="3" width="8.5703125" style="24"/>
    <col min="4" max="4" width="18.5703125" style="24" customWidth="1"/>
    <col min="5" max="8" width="8.5703125" style="24"/>
    <col min="9" max="10" width="11.85546875" style="24" customWidth="1"/>
    <col min="11" max="13" width="8.5703125" style="24"/>
    <col min="14" max="14" width="4.42578125" style="24" customWidth="1"/>
    <col min="15" max="15" width="6.5703125" style="24" customWidth="1"/>
    <col min="16" max="16" width="29.5703125" style="24" customWidth="1"/>
    <col min="17" max="18" width="8.5703125" style="24"/>
    <col min="19" max="19" width="4.5703125" style="24" customWidth="1"/>
    <col min="20" max="16384" width="8.5703125" style="24"/>
  </cols>
  <sheetData>
    <row r="2" spans="2:17">
      <c r="B2" s="117" t="s">
        <v>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N2" s="25" t="s">
        <v>92</v>
      </c>
      <c r="O2" s="25"/>
      <c r="P2" s="25"/>
    </row>
    <row r="3" spans="2:17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N3" s="26" t="s">
        <v>93</v>
      </c>
      <c r="O3" s="26"/>
      <c r="P3" s="27">
        <f>COUNTIF(Tabell1[Status],"Fel")</f>
        <v>0</v>
      </c>
    </row>
    <row r="4" spans="2:17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N4" s="26" t="s">
        <v>94</v>
      </c>
      <c r="O4" s="26"/>
      <c r="P4" s="27">
        <f>COUNTIF(Tabell2[Status],"Fel")</f>
        <v>0</v>
      </c>
    </row>
    <row r="5" spans="2:17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N5" s="26" t="s">
        <v>95</v>
      </c>
      <c r="O5" s="26"/>
      <c r="P5" s="27">
        <f>COUNTIF(Tabell3[Status],"Fel")</f>
        <v>0</v>
      </c>
    </row>
    <row r="6" spans="2:17" ht="14.45" thickBo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N6" s="86" t="s">
        <v>96</v>
      </c>
      <c r="O6" s="86"/>
      <c r="P6" s="28">
        <f>COUNTIF(Tabell4[Status],"Fel")</f>
        <v>0</v>
      </c>
    </row>
    <row r="7" spans="2:17">
      <c r="B7" s="26"/>
      <c r="C7" s="29" t="s">
        <v>97</v>
      </c>
      <c r="D7" s="91"/>
      <c r="E7" s="91"/>
      <c r="F7" s="91"/>
      <c r="G7" s="118" t="s">
        <v>98</v>
      </c>
      <c r="H7" s="118"/>
      <c r="I7" s="118"/>
      <c r="J7" s="91"/>
      <c r="K7" s="91"/>
      <c r="L7" s="26"/>
      <c r="N7" s="95" t="str">
        <f>IF(SUM(P3:P5)&gt;0,"Vänligen rätta till de fel som markerats i bokföringen","Inga fel att rätta i bokföringen")</f>
        <v>Inga fel att rätta i bokföringen</v>
      </c>
      <c r="O7" s="96"/>
      <c r="P7" s="97"/>
    </row>
    <row r="8" spans="2:17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N8" s="98"/>
      <c r="O8" s="99"/>
      <c r="P8" s="100"/>
    </row>
    <row r="9" spans="2:17">
      <c r="B9" s="119" t="s">
        <v>99</v>
      </c>
      <c r="C9" s="119"/>
      <c r="D9" s="121"/>
      <c r="E9" s="121"/>
      <c r="F9" s="121"/>
      <c r="G9" s="119" t="s">
        <v>100</v>
      </c>
      <c r="H9" s="119"/>
      <c r="I9" s="119"/>
      <c r="J9" s="121"/>
      <c r="K9" s="121"/>
      <c r="L9" s="26"/>
      <c r="N9" s="98"/>
      <c r="O9" s="99"/>
      <c r="P9" s="100"/>
    </row>
    <row r="10" spans="2:17" ht="14.45" thickBot="1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N10" s="101"/>
      <c r="O10" s="102"/>
      <c r="P10" s="103"/>
    </row>
    <row r="11" spans="2:17">
      <c r="B11" s="119" t="s">
        <v>101</v>
      </c>
      <c r="C11" s="119"/>
      <c r="D11" s="91"/>
      <c r="E11" s="91"/>
      <c r="F11" s="91"/>
      <c r="G11" s="26"/>
      <c r="H11" s="26"/>
      <c r="I11" s="26"/>
      <c r="J11" s="26"/>
      <c r="K11" s="26"/>
      <c r="L11" s="26"/>
      <c r="N11" s="30"/>
      <c r="O11" s="30"/>
      <c r="P11" s="30"/>
    </row>
    <row r="12" spans="2:17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2:17" ht="15.6" customHeight="1">
      <c r="N13" s="112"/>
      <c r="O13" s="112"/>
      <c r="P13" s="112"/>
    </row>
    <row r="14" spans="2:17" ht="20.45" customHeight="1">
      <c r="B14" s="120" t="s">
        <v>102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N14" s="110" t="s">
        <v>103</v>
      </c>
      <c r="O14" s="110"/>
      <c r="P14" s="110"/>
    </row>
    <row r="15" spans="2:17" ht="14.45" customHeight="1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N15" s="31"/>
      <c r="O15" s="31"/>
      <c r="P15" s="31"/>
    </row>
    <row r="16" spans="2:17" ht="14.45" thickBot="1"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N16" s="94" t="s">
        <v>104</v>
      </c>
      <c r="O16" s="94"/>
      <c r="P16" s="94"/>
      <c r="Q16" s="32"/>
    </row>
    <row r="17" spans="2:22" ht="14.45" thickBot="1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N17" s="94"/>
      <c r="O17" s="94"/>
      <c r="P17" s="94"/>
      <c r="Q17" s="34" t="s">
        <v>105</v>
      </c>
    </row>
    <row r="18" spans="2:22">
      <c r="B18" s="92" t="s">
        <v>106</v>
      </c>
      <c r="C18" s="92"/>
      <c r="D18" s="92"/>
      <c r="E18" s="90"/>
      <c r="F18" s="90"/>
      <c r="G18" s="92" t="s">
        <v>107</v>
      </c>
      <c r="H18" s="92"/>
      <c r="I18" s="92"/>
      <c r="J18" s="90"/>
      <c r="K18" s="90"/>
      <c r="L18" s="33"/>
      <c r="N18" s="94"/>
      <c r="O18" s="94"/>
      <c r="P18" s="94"/>
    </row>
    <row r="19" spans="2:22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N19" s="111"/>
      <c r="O19" s="111"/>
      <c r="P19" s="111"/>
    </row>
    <row r="20" spans="2:22" ht="14.45" thickBot="1">
      <c r="B20" s="115" t="s">
        <v>108</v>
      </c>
      <c r="C20" s="115"/>
      <c r="D20" s="115"/>
      <c r="E20" s="116">
        <f>IngåendeBankkonto-IngåendeHandkassa</f>
        <v>0</v>
      </c>
      <c r="F20" s="116"/>
      <c r="G20" s="26"/>
      <c r="H20" s="26"/>
      <c r="I20" s="26"/>
      <c r="J20" s="26"/>
      <c r="K20" s="26"/>
      <c r="L20" s="26"/>
      <c r="N20" s="114" t="s">
        <v>109</v>
      </c>
      <c r="O20" s="114"/>
      <c r="P20" s="114"/>
    </row>
    <row r="21" spans="2:22" ht="14.45" thickBot="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114"/>
      <c r="O21" s="114"/>
      <c r="P21" s="114"/>
      <c r="Q21" s="104"/>
      <c r="R21" s="105"/>
      <c r="T21" s="113" t="str">
        <f>IF(ISBLANK(Q21)=FALSE,IF(Q17="JA","","Räknas ej med i bokslut!"),"")</f>
        <v/>
      </c>
      <c r="U21" s="113"/>
      <c r="V21" s="113"/>
    </row>
    <row r="22" spans="2:22">
      <c r="N22" s="114"/>
      <c r="O22" s="114"/>
      <c r="P22" s="114"/>
    </row>
    <row r="23" spans="2:2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2:22" ht="14.45" thickBot="1">
      <c r="B24" s="93" t="s">
        <v>110</v>
      </c>
      <c r="C24" s="93"/>
      <c r="D24" s="93"/>
      <c r="E24" s="89">
        <f>'Siffror (Rör ej)'!P9+'Siffror (Rör ej)'!P26+'Siffror (Rör ej)'!P42</f>
        <v>0</v>
      </c>
      <c r="F24" s="89"/>
      <c r="G24" s="35"/>
      <c r="H24" s="36" t="s">
        <v>111</v>
      </c>
      <c r="I24" s="35"/>
      <c r="J24" s="89">
        <f>'Siffror (Rör ej)'!P13+'Siffror (Rör ej)'!P30+'Siffror (Rör ej)'!P46</f>
        <v>0</v>
      </c>
      <c r="K24" s="89"/>
      <c r="L24" s="35"/>
      <c r="N24" s="94" t="s">
        <v>112</v>
      </c>
      <c r="O24" s="94"/>
      <c r="P24" s="94"/>
    </row>
    <row r="25" spans="2:22" ht="14.45" thickBot="1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N25" s="94"/>
      <c r="O25" s="94"/>
      <c r="P25" s="94"/>
      <c r="Q25" s="37" t="s">
        <v>105</v>
      </c>
      <c r="R25" s="32"/>
    </row>
    <row r="26" spans="2:22">
      <c r="B26" s="93" t="s">
        <v>113</v>
      </c>
      <c r="C26" s="93"/>
      <c r="D26" s="93"/>
      <c r="E26" s="89">
        <f>E24-J24</f>
        <v>0</v>
      </c>
      <c r="F26" s="89"/>
      <c r="G26" s="35"/>
      <c r="H26" s="35"/>
      <c r="I26" s="35"/>
      <c r="J26" s="35"/>
      <c r="K26" s="35"/>
      <c r="L26" s="35"/>
      <c r="N26" s="94"/>
      <c r="O26" s="94"/>
      <c r="P26" s="94"/>
    </row>
    <row r="27" spans="2:22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N27" s="111"/>
      <c r="O27" s="111"/>
      <c r="P27" s="111"/>
    </row>
    <row r="28" spans="2:22" ht="14.45" thickBot="1">
      <c r="N28" s="114" t="s">
        <v>114</v>
      </c>
      <c r="O28" s="114"/>
      <c r="P28" s="114"/>
    </row>
    <row r="29" spans="2:22" ht="14.45" thickBot="1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N29" s="114"/>
      <c r="O29" s="114"/>
      <c r="P29" s="114"/>
      <c r="Q29" s="104"/>
      <c r="R29" s="105"/>
      <c r="T29" s="113" t="str">
        <f>IF(ISBLANK(Q29)=FALSE,IF(Q25="JA","","Räknas ej med i bokslut!"),"")</f>
        <v/>
      </c>
      <c r="U29" s="113"/>
      <c r="V29" s="113"/>
    </row>
    <row r="30" spans="2:22">
      <c r="B30" s="93" t="s">
        <v>115</v>
      </c>
      <c r="C30" s="93"/>
      <c r="D30" s="93"/>
      <c r="E30" s="89">
        <f>IngåendeBankkonto+TotalaBankintäkter-TotalaBankutgifter</f>
        <v>0</v>
      </c>
      <c r="F30" s="89"/>
      <c r="G30" s="93" t="s">
        <v>116</v>
      </c>
      <c r="H30" s="93"/>
      <c r="I30" s="93"/>
      <c r="J30" s="89">
        <f>IngåendeHandkassa+TotalaKassaintäkter-TotalaKassautgifter</f>
        <v>0</v>
      </c>
      <c r="K30" s="89"/>
      <c r="L30" s="35"/>
      <c r="N30" s="114"/>
      <c r="O30" s="114"/>
      <c r="P30" s="114"/>
    </row>
    <row r="31" spans="2:2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2:22">
      <c r="B32" s="35"/>
      <c r="C32" s="38" t="s">
        <v>117</v>
      </c>
      <c r="D32" s="35"/>
      <c r="E32" s="89">
        <f>E30+J30</f>
        <v>0</v>
      </c>
      <c r="F32" s="89"/>
      <c r="G32" s="93" t="s">
        <v>118</v>
      </c>
      <c r="H32" s="93"/>
      <c r="I32" s="93"/>
      <c r="J32" s="109" t="str">
        <f>IFERROR(E32/E20,"")</f>
        <v/>
      </c>
      <c r="K32" s="109"/>
      <c r="L32" s="35"/>
      <c r="N32" s="106" t="s">
        <v>8</v>
      </c>
      <c r="O32" s="106"/>
      <c r="P32" s="107" t="str">
        <f>IF(CONCATENATE('Alternativ (Rör ej)'!F8,'Alternativ (Rör ej)'!F9)="RättRätt","Klar",IF(CONCATENATE('Alternativ (Rör ej)'!F8,'Alternativ (Rör ej)'!F9)="RättNej","Klar",IF(CONCATENATE('Alternativ (Rör ej)'!F8,'Alternativ (Rör ej)'!F9)="NejRätt","Klar",IF(CONCATENATE('Alternativ (Rör ej)'!F8,'Alternativ (Rör ej)'!F9)="NejNej","Klar","Ej klar"))))</f>
        <v>Klar</v>
      </c>
    </row>
    <row r="33" spans="2:16" ht="14.45">
      <c r="B33" s="108" t="s">
        <v>119</v>
      </c>
      <c r="C33" s="108"/>
      <c r="D33" s="108"/>
      <c r="E33" s="89">
        <f>E30+J30+Inventarie</f>
        <v>0</v>
      </c>
      <c r="F33" s="89"/>
      <c r="G33" s="35"/>
      <c r="H33" s="35"/>
      <c r="I33" s="35"/>
      <c r="J33" s="35"/>
      <c r="K33" s="35"/>
      <c r="L33" s="35"/>
      <c r="N33" s="106"/>
      <c r="O33" s="106"/>
      <c r="P33" s="107"/>
    </row>
    <row r="34" spans="2:16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P34" s="39">
        <f>IF(P32="Ej klar",1,2)</f>
        <v>2</v>
      </c>
    </row>
    <row r="36" spans="2:16" ht="15" customHeight="1">
      <c r="B36" s="88" t="str">
        <f>Mestintäkt1</f>
        <v>I Bokföring 1 har ni inga bokförda intäkter!</v>
      </c>
      <c r="C36" s="88"/>
      <c r="D36" s="88"/>
      <c r="E36" s="88"/>
      <c r="G36" s="88" t="str">
        <f>Mestintäkt</f>
        <v>Ni har inte bokfört några intäkter!</v>
      </c>
      <c r="H36" s="88"/>
      <c r="I36" s="88"/>
      <c r="J36" s="88"/>
    </row>
    <row r="37" spans="2:16">
      <c r="B37" s="88"/>
      <c r="C37" s="88"/>
      <c r="D37" s="88"/>
      <c r="E37" s="88"/>
      <c r="G37" s="88"/>
      <c r="H37" s="88"/>
      <c r="I37" s="88"/>
      <c r="J37" s="88"/>
    </row>
    <row r="38" spans="2:16">
      <c r="B38" s="88"/>
      <c r="C38" s="88"/>
      <c r="D38" s="88"/>
      <c r="E38" s="88"/>
      <c r="G38" s="88"/>
      <c r="H38" s="88"/>
      <c r="I38" s="88"/>
      <c r="J38" s="88"/>
    </row>
    <row r="40" spans="2:16" ht="15" customHeight="1">
      <c r="B40" s="88" t="str">
        <f>Mestintäkt2</f>
        <v>I Bokföring 2 har ni inga bokförda intäkter!</v>
      </c>
      <c r="C40" s="88"/>
      <c r="D40" s="88"/>
      <c r="E40" s="88"/>
      <c r="G40" s="88" t="str">
        <f>Mestkostnad</f>
        <v>Ni har inte bokfört några kostnader!</v>
      </c>
      <c r="H40" s="88"/>
      <c r="I40" s="88"/>
      <c r="J40" s="88"/>
    </row>
    <row r="41" spans="2:16">
      <c r="B41" s="88"/>
      <c r="C41" s="88"/>
      <c r="D41" s="88"/>
      <c r="E41" s="88"/>
      <c r="G41" s="88"/>
      <c r="H41" s="88"/>
      <c r="I41" s="88"/>
      <c r="J41" s="88"/>
    </row>
    <row r="42" spans="2:16">
      <c r="B42" s="88"/>
      <c r="C42" s="88"/>
      <c r="D42" s="88"/>
      <c r="E42" s="88"/>
      <c r="G42" s="88"/>
      <c r="H42" s="88"/>
      <c r="I42" s="88"/>
      <c r="J42" s="88"/>
    </row>
    <row r="44" spans="2:16">
      <c r="B44" s="88" t="str">
        <f>Mestintäkt3</f>
        <v>I Bokföring 3 har ni inga bokförda intäkter!</v>
      </c>
      <c r="C44" s="88"/>
      <c r="D44" s="88"/>
      <c r="E44" s="88"/>
      <c r="G44" s="87"/>
      <c r="H44" s="87"/>
      <c r="I44" s="87"/>
      <c r="J44" s="87"/>
    </row>
    <row r="45" spans="2:16">
      <c r="B45" s="88"/>
      <c r="C45" s="88"/>
      <c r="D45" s="88"/>
      <c r="E45" s="88"/>
      <c r="G45" s="87"/>
      <c r="H45" s="87"/>
      <c r="I45" s="87"/>
      <c r="J45" s="87"/>
    </row>
    <row r="46" spans="2:16">
      <c r="B46" s="88"/>
      <c r="C46" s="88"/>
      <c r="D46" s="88"/>
      <c r="E46" s="88"/>
      <c r="G46" s="87"/>
      <c r="H46" s="87"/>
      <c r="I46" s="87"/>
      <c r="J46" s="87"/>
    </row>
    <row r="48" spans="2:16">
      <c r="B48" s="88" t="str">
        <f>Mestintäkt4</f>
        <v>I Bokföring 4 har ni inga bokförda intäkter!</v>
      </c>
      <c r="C48" s="88"/>
      <c r="D48" s="88"/>
      <c r="E48" s="88"/>
      <c r="G48" s="87"/>
      <c r="H48" s="87"/>
      <c r="I48" s="87"/>
      <c r="J48" s="87"/>
    </row>
    <row r="49" spans="2:10">
      <c r="B49" s="88"/>
      <c r="C49" s="88"/>
      <c r="D49" s="88"/>
      <c r="E49" s="88"/>
      <c r="G49" s="87"/>
      <c r="H49" s="87"/>
      <c r="I49" s="87"/>
      <c r="J49" s="87"/>
    </row>
    <row r="50" spans="2:10">
      <c r="B50" s="88"/>
      <c r="C50" s="88"/>
      <c r="D50" s="88"/>
      <c r="E50" s="88"/>
      <c r="G50" s="87"/>
      <c r="H50" s="87"/>
      <c r="I50" s="87"/>
      <c r="J50" s="87"/>
    </row>
  </sheetData>
  <sheetProtection algorithmName="SHA-512" hashValue="Ykwa8tYGZw3mzdVa63b4NdAPItNJi4TWL2llBdNXFX28MlE2rP097SD6aHX5Pc6ylt4DKwRTKjaS3q9aV56gaQ==" saltValue="QiXsojRiIjKtB6yndI3w5Q==" spinCount="100000" sheet="1" objects="1" scenarios="1" selectLockedCells="1"/>
  <mergeCells count="55">
    <mergeCell ref="B2:L5"/>
    <mergeCell ref="G7:I7"/>
    <mergeCell ref="G9:I9"/>
    <mergeCell ref="B14:L16"/>
    <mergeCell ref="D9:F9"/>
    <mergeCell ref="J9:K9"/>
    <mergeCell ref="J7:K7"/>
    <mergeCell ref="D7:F7"/>
    <mergeCell ref="B9:C9"/>
    <mergeCell ref="B11:C11"/>
    <mergeCell ref="B20:D20"/>
    <mergeCell ref="G30:I30"/>
    <mergeCell ref="B30:D30"/>
    <mergeCell ref="B26:D26"/>
    <mergeCell ref="E20:F20"/>
    <mergeCell ref="N14:P14"/>
    <mergeCell ref="N19:P19"/>
    <mergeCell ref="N16:P18"/>
    <mergeCell ref="N13:P13"/>
    <mergeCell ref="T29:V29"/>
    <mergeCell ref="N27:P27"/>
    <mergeCell ref="N28:P30"/>
    <mergeCell ref="T21:V21"/>
    <mergeCell ref="N20:P22"/>
    <mergeCell ref="Q21:R21"/>
    <mergeCell ref="B48:E50"/>
    <mergeCell ref="G36:J38"/>
    <mergeCell ref="G40:J42"/>
    <mergeCell ref="G48:J50"/>
    <mergeCell ref="Q29:R29"/>
    <mergeCell ref="N32:O33"/>
    <mergeCell ref="P32:P33"/>
    <mergeCell ref="E30:F30"/>
    <mergeCell ref="J30:K30"/>
    <mergeCell ref="E33:F33"/>
    <mergeCell ref="B33:D33"/>
    <mergeCell ref="G32:I32"/>
    <mergeCell ref="J32:K32"/>
    <mergeCell ref="E32:F32"/>
    <mergeCell ref="N6:O6"/>
    <mergeCell ref="G44:J46"/>
    <mergeCell ref="B36:E38"/>
    <mergeCell ref="B40:E42"/>
    <mergeCell ref="B44:E46"/>
    <mergeCell ref="E26:F26"/>
    <mergeCell ref="J24:K24"/>
    <mergeCell ref="E18:F18"/>
    <mergeCell ref="J18:K18"/>
    <mergeCell ref="D11:F11"/>
    <mergeCell ref="G18:I18"/>
    <mergeCell ref="B18:D18"/>
    <mergeCell ref="B24:D24"/>
    <mergeCell ref="E24:F24"/>
    <mergeCell ref="N24:P26"/>
    <mergeCell ref="N7:P10"/>
  </mergeCells>
  <conditionalFormatting sqref="N7">
    <cfRule type="containsText" dxfId="47" priority="11" operator="containsText" text="Vänligen rätta till de fel som markerats i bokföringen">
      <formula>NOT(ISERROR(SEARCH("Vänligen rätta till de fel som markerats i bokföringen",N7)))</formula>
    </cfRule>
    <cfRule type="containsText" dxfId="46" priority="12" operator="containsText" text="Inga fel att rätta">
      <formula>NOT(ISERROR(SEARCH("Inga fel att rätta",N7)))</formula>
    </cfRule>
  </conditionalFormatting>
  <conditionalFormatting sqref="T21:V21">
    <cfRule type="notContainsBlanks" dxfId="45" priority="8">
      <formula>LEN(TRIM(T21))&gt;0</formula>
    </cfRule>
  </conditionalFormatting>
  <conditionalFormatting sqref="T29:V29">
    <cfRule type="notContainsBlanks" dxfId="44" priority="7">
      <formula>LEN(TRIM(T29))&gt;0</formula>
    </cfRule>
  </conditionalFormatting>
  <conditionalFormatting sqref="Q25 Q17">
    <cfRule type="containsText" dxfId="43" priority="5" operator="containsText" text="Ja">
      <formula>NOT(ISERROR(SEARCH("Ja",Q17)))</formula>
    </cfRule>
  </conditionalFormatting>
  <conditionalFormatting sqref="P32:P33">
    <cfRule type="beginsWith" dxfId="42" priority="3" operator="beginsWith" text="Klar">
      <formula>LEFT(P32,LEN("Klar"))="Klar"</formula>
    </cfRule>
  </conditionalFormatting>
  <conditionalFormatting sqref="P34">
    <cfRule type="cellIs" dxfId="41" priority="1" operator="equal">
      <formula>2</formula>
    </cfRule>
    <cfRule type="cellIs" dxfId="40" priority="2" operator="equal">
      <formula>1</formula>
    </cfRule>
  </conditionalFormatting>
  <conditionalFormatting sqref="P3:P6">
    <cfRule type="cellIs" dxfId="39" priority="9" operator="greaterThan">
      <formula>0</formula>
    </cfRule>
    <cfRule type="cellIs" dxfId="38" priority="10" operator="equal">
      <formula>0</formula>
    </cfRule>
  </conditionalFormatting>
  <dataValidations count="8">
    <dataValidation allowBlank="1" showInputMessage="1" showErrorMessage="1" promptTitle="Elevkår" prompt="Juridiskt namn på er elevkår. Finns i stadgan." sqref="D7:F7" xr:uid="{3B30DC35-B573-334A-A99E-C2257C2CFB61}"/>
    <dataValidation allowBlank="1" showInputMessage="1" showErrorMessage="1" promptTitle="Ansvarig" prompt="Den person som är ansvarig för bokföringen." sqref="D9:F9" xr:uid="{146E0515-A1A6-FC44-8BBA-A49AECD8415C}"/>
    <dataValidation allowBlank="1" showInputMessage="1" showErrorMessage="1" promptTitle="Organisationsnummer" prompt="Ert organisationsnummer för elevkåren. Har ni inget lämnar ni denna rutan tom! " sqref="J7:K7" xr:uid="{1F5B77CB-2DCE-AA45-8B65-0CDA194622BF}"/>
    <dataValidation allowBlank="1" showInputMessage="1" showErrorMessage="1" promptTitle="Kontonummer" prompt="Det kontonummer som ni aktivt använder med kåren." sqref="J9:K9" xr:uid="{64E9FEF9-D838-E64C-8BCC-0A353A2B605D}"/>
    <dataValidation allowBlank="1" showInputMessage="1" showErrorMessage="1" promptTitle="Ingående Banksaldo" prompt="Det belopp som fanns på banken vid start av verksamhetsår." sqref="E18:F18" xr:uid="{A971F93C-0FE7-304D-B7E6-ADC34F8A4BBA}"/>
    <dataValidation allowBlank="1" showInputMessage="1" showErrorMessage="1" promptTitle="Ingående handkassa" prompt="Det belopp som fanns kontant vid start av verksamhetsår." sqref="J18:K18" xr:uid="{8C00A229-DADC-1747-ADCB-9CD02A3AD2D8}"/>
    <dataValidation allowBlank="1" showInputMessage="1" showErrorMessage="1" promptTitle="Värde" prompt="Ex. ifall ni har 10 tröjor ni skulle sälja för 250kr, då är värdet 2500kr på era inventarier." sqref="Q29:R29" xr:uid="{31F52F78-265E-7944-8D72-EE2F3E322343}"/>
    <dataValidation allowBlank="1" showInputMessage="1" showErrorMessage="1" promptTitle="Redovisningsår" prompt="Vilket redovisningsår bokföringen är avsedd." sqref="D11:F11" xr:uid="{16B1C1E2-9B55-45AA-AA6E-DB26055BDEC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2556D4-C123-4BA7-BBBC-3E2CB3DAF425}">
          <x14:formula1>
            <xm:f>'Alternativ (Rör ej)'!$B$8:$B$9</xm:f>
          </x14:formula1>
          <xm:sqref>Q25 Q17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3"/>
  <sheetViews>
    <sheetView tabSelected="1" zoomScale="90" zoomScaleNormal="90" workbookViewId="0">
      <selection activeCell="B18" sqref="B18"/>
    </sheetView>
  </sheetViews>
  <sheetFormatPr defaultColWidth="8.5703125" defaultRowHeight="14.1"/>
  <cols>
    <col min="1" max="1" width="8.5703125" style="24"/>
    <col min="2" max="2" width="27" style="24" customWidth="1"/>
    <col min="3" max="3" width="27.42578125" style="24" customWidth="1"/>
    <col min="4" max="4" width="14.140625" style="24" customWidth="1"/>
    <col min="5" max="5" width="4.5703125" style="24" customWidth="1"/>
    <col min="6" max="6" width="13.140625" style="24" customWidth="1"/>
    <col min="7" max="7" width="16.5703125" style="24" customWidth="1"/>
    <col min="8" max="8" width="12.42578125" style="24" customWidth="1"/>
    <col min="9" max="16384" width="8.5703125" style="24"/>
  </cols>
  <sheetData>
    <row r="2" spans="2:8">
      <c r="B2" s="82" t="s">
        <v>68</v>
      </c>
      <c r="C2" s="82"/>
      <c r="D2" s="82" t="s">
        <v>69</v>
      </c>
      <c r="E2" s="82"/>
      <c r="F2" s="82"/>
      <c r="G2" s="82"/>
      <c r="H2" s="82"/>
    </row>
    <row r="3" spans="2:8">
      <c r="B3" s="82"/>
      <c r="C3" s="82"/>
      <c r="D3" s="82"/>
      <c r="E3" s="82"/>
      <c r="F3" s="82"/>
      <c r="G3" s="82"/>
      <c r="H3" s="82"/>
    </row>
    <row r="4" spans="2:8">
      <c r="B4" s="82"/>
      <c r="C4" s="82"/>
      <c r="D4" s="82"/>
      <c r="E4" s="82"/>
      <c r="F4" s="82"/>
      <c r="G4" s="82"/>
      <c r="H4" s="82"/>
    </row>
    <row r="5" spans="2:8">
      <c r="B5" s="82"/>
      <c r="C5" s="82"/>
      <c r="D5" s="82"/>
      <c r="E5" s="82"/>
      <c r="F5" s="82"/>
      <c r="G5" s="82"/>
      <c r="H5" s="82"/>
    </row>
    <row r="6" spans="2:8">
      <c r="B6" s="26"/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54" t="s">
        <v>70</v>
      </c>
      <c r="C8" s="55">
        <f>IngåendeBankkonto+ResultatBank1</f>
        <v>0</v>
      </c>
      <c r="D8" s="83" t="s">
        <v>71</v>
      </c>
      <c r="E8" s="83"/>
      <c r="F8" s="84">
        <f>BankIn1+KassaIn1-InsättningBankIn1-InsättningKassain1</f>
        <v>0</v>
      </c>
      <c r="G8" s="84"/>
      <c r="H8" s="26"/>
    </row>
    <row r="9" spans="2:8">
      <c r="B9" s="54" t="s">
        <v>72</v>
      </c>
      <c r="C9" s="56">
        <f>IngåendeHandkassa+ResultatKassa1</f>
        <v>0</v>
      </c>
      <c r="D9" s="57" t="s">
        <v>73</v>
      </c>
      <c r="E9" s="57"/>
      <c r="F9" s="85">
        <f>BankUt1+KassaUt1-InsättningBankUt1-InsättningKassaUt1</f>
        <v>0</v>
      </c>
      <c r="G9" s="85"/>
      <c r="H9" s="26"/>
    </row>
    <row r="10" spans="2:8">
      <c r="B10" s="54" t="s">
        <v>74</v>
      </c>
      <c r="C10" s="58">
        <f>SUM(C8:C9)</f>
        <v>0</v>
      </c>
      <c r="D10" s="57" t="s">
        <v>69</v>
      </c>
      <c r="E10" s="57"/>
      <c r="F10" s="81">
        <f>F8-F9</f>
        <v>0</v>
      </c>
      <c r="G10" s="81"/>
      <c r="H10" s="26"/>
    </row>
    <row r="11" spans="2:8">
      <c r="B11" s="26"/>
      <c r="C11" s="26"/>
      <c r="D11" s="26"/>
      <c r="E11" s="26"/>
      <c r="F11" s="26"/>
      <c r="G11" s="26"/>
      <c r="H11" s="26"/>
    </row>
    <row r="13" spans="2:8">
      <c r="B13" s="59" t="s">
        <v>2</v>
      </c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</row>
    <row r="14" spans="2:8">
      <c r="B14" s="61"/>
      <c r="C14" s="61"/>
      <c r="D14" s="62"/>
      <c r="E14" s="35">
        <v>1</v>
      </c>
      <c r="F14" s="61"/>
      <c r="G14" s="63"/>
      <c r="H14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5" spans="2:8">
      <c r="B15" s="61"/>
      <c r="C15" s="61"/>
      <c r="D15" s="62"/>
      <c r="E15" s="35">
        <v>2</v>
      </c>
      <c r="F15" s="61"/>
      <c r="G15" s="63"/>
      <c r="H15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6" spans="2:8">
      <c r="B16" s="61"/>
      <c r="C16" s="61"/>
      <c r="D16" s="62"/>
      <c r="E16" s="35">
        <v>3</v>
      </c>
      <c r="F16" s="61"/>
      <c r="G16" s="63"/>
      <c r="H16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7" spans="2:8">
      <c r="B17" s="61"/>
      <c r="C17" s="61"/>
      <c r="D17" s="62"/>
      <c r="E17" s="35">
        <v>4</v>
      </c>
      <c r="F17" s="61"/>
      <c r="G17" s="63"/>
      <c r="H17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8" spans="2:8">
      <c r="B18" s="61"/>
      <c r="C18" s="61"/>
      <c r="D18" s="62"/>
      <c r="E18" s="35">
        <v>5</v>
      </c>
      <c r="F18" s="61"/>
      <c r="G18" s="63"/>
      <c r="H18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19" spans="2:8">
      <c r="B19" s="61"/>
      <c r="C19" s="61"/>
      <c r="D19" s="62"/>
      <c r="E19" s="35">
        <v>6</v>
      </c>
      <c r="F19" s="61"/>
      <c r="G19" s="63"/>
      <c r="H19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0" spans="2:8">
      <c r="B20" s="61"/>
      <c r="C20" s="61"/>
      <c r="D20" s="62"/>
      <c r="E20" s="35">
        <v>7</v>
      </c>
      <c r="F20" s="61"/>
      <c r="G20" s="63"/>
      <c r="H20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1" spans="2:8">
      <c r="B21" s="61"/>
      <c r="C21" s="61"/>
      <c r="D21" s="62"/>
      <c r="E21" s="35">
        <v>8</v>
      </c>
      <c r="F21" s="61"/>
      <c r="G21" s="63"/>
      <c r="H21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2" spans="2:8">
      <c r="B22" s="61"/>
      <c r="C22" s="61"/>
      <c r="D22" s="62"/>
      <c r="E22" s="35">
        <v>9</v>
      </c>
      <c r="F22" s="61"/>
      <c r="G22" s="63"/>
      <c r="H22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3" spans="2:8">
      <c r="B23" s="61"/>
      <c r="C23" s="61"/>
      <c r="D23" s="62"/>
      <c r="E23" s="35">
        <v>10</v>
      </c>
      <c r="F23" s="61"/>
      <c r="G23" s="63"/>
      <c r="H23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4" spans="2:8">
      <c r="B24" s="61"/>
      <c r="C24" s="61"/>
      <c r="D24" s="62"/>
      <c r="E24" s="35">
        <v>11</v>
      </c>
      <c r="F24" s="61"/>
      <c r="G24" s="63"/>
      <c r="H24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5" spans="2:8">
      <c r="B25" s="61"/>
      <c r="C25" s="61"/>
      <c r="D25" s="62"/>
      <c r="E25" s="35">
        <v>12</v>
      </c>
      <c r="F25" s="61"/>
      <c r="G25" s="63"/>
      <c r="H25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6" spans="2:8">
      <c r="B26" s="61"/>
      <c r="C26" s="61"/>
      <c r="D26" s="62"/>
      <c r="E26" s="35">
        <v>13</v>
      </c>
      <c r="F26" s="61"/>
      <c r="G26" s="63"/>
      <c r="H26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7" spans="2:8">
      <c r="B27" s="61"/>
      <c r="C27" s="61"/>
      <c r="D27" s="62"/>
      <c r="E27" s="35">
        <v>14</v>
      </c>
      <c r="F27" s="61"/>
      <c r="G27" s="63"/>
      <c r="H27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8" spans="2:8">
      <c r="B28" s="61"/>
      <c r="C28" s="61"/>
      <c r="D28" s="62"/>
      <c r="E28" s="35">
        <v>15</v>
      </c>
      <c r="F28" s="61"/>
      <c r="G28" s="63"/>
      <c r="H28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29" spans="2:8">
      <c r="B29" s="61"/>
      <c r="C29" s="61"/>
      <c r="D29" s="62"/>
      <c r="E29" s="35">
        <v>16</v>
      </c>
      <c r="F29" s="61"/>
      <c r="G29" s="63"/>
      <c r="H29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0" spans="2:8">
      <c r="B30" s="61"/>
      <c r="C30" s="61"/>
      <c r="D30" s="62"/>
      <c r="E30" s="35">
        <v>17</v>
      </c>
      <c r="F30" s="61"/>
      <c r="G30" s="63"/>
      <c r="H30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1" spans="2:8">
      <c r="B31" s="61"/>
      <c r="C31" s="61"/>
      <c r="D31" s="62"/>
      <c r="E31" s="35">
        <v>18</v>
      </c>
      <c r="F31" s="61"/>
      <c r="G31" s="63"/>
      <c r="H31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2" spans="2:8">
      <c r="B32" s="61"/>
      <c r="C32" s="61"/>
      <c r="D32" s="62"/>
      <c r="E32" s="35">
        <v>19</v>
      </c>
      <c r="F32" s="61"/>
      <c r="G32" s="63"/>
      <c r="H32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3" spans="2:8">
      <c r="B33" s="61"/>
      <c r="C33" s="61"/>
      <c r="D33" s="62"/>
      <c r="E33" s="35">
        <v>20</v>
      </c>
      <c r="F33" s="61"/>
      <c r="G33" s="63"/>
      <c r="H33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4" spans="2:8">
      <c r="B34" s="61"/>
      <c r="C34" s="61"/>
      <c r="D34" s="62"/>
      <c r="E34" s="35">
        <v>21</v>
      </c>
      <c r="F34" s="61"/>
      <c r="G34" s="63"/>
      <c r="H34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5" spans="2:8">
      <c r="B35" s="61"/>
      <c r="C35" s="61"/>
      <c r="D35" s="62"/>
      <c r="E35" s="35">
        <v>22</v>
      </c>
      <c r="F35" s="61"/>
      <c r="G35" s="63"/>
      <c r="H35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6" spans="2:8">
      <c r="B36" s="61"/>
      <c r="C36" s="61"/>
      <c r="D36" s="62"/>
      <c r="E36" s="35">
        <v>23</v>
      </c>
      <c r="F36" s="61"/>
      <c r="G36" s="63"/>
      <c r="H36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7" spans="2:8">
      <c r="B37" s="61"/>
      <c r="C37" s="61"/>
      <c r="D37" s="62"/>
      <c r="E37" s="35">
        <v>24</v>
      </c>
      <c r="F37" s="61"/>
      <c r="G37" s="63"/>
      <c r="H37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8" spans="2:8">
      <c r="B38" s="61"/>
      <c r="C38" s="61"/>
      <c r="D38" s="62"/>
      <c r="E38" s="35">
        <v>25</v>
      </c>
      <c r="F38" s="61"/>
      <c r="G38" s="63"/>
      <c r="H38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39" spans="2:8">
      <c r="B39" s="61"/>
      <c r="C39" s="61"/>
      <c r="D39" s="62"/>
      <c r="E39" s="35">
        <v>26</v>
      </c>
      <c r="F39" s="61"/>
      <c r="G39" s="63"/>
      <c r="H39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0" spans="2:8">
      <c r="B40" s="61"/>
      <c r="C40" s="61"/>
      <c r="D40" s="62"/>
      <c r="E40" s="35">
        <v>27</v>
      </c>
      <c r="F40" s="61"/>
      <c r="G40" s="63"/>
      <c r="H40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1" spans="2:8">
      <c r="B41" s="61"/>
      <c r="C41" s="61"/>
      <c r="D41" s="62"/>
      <c r="E41" s="35">
        <v>28</v>
      </c>
      <c r="F41" s="61"/>
      <c r="G41" s="63"/>
      <c r="H41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2" spans="2:8">
      <c r="B42" s="61"/>
      <c r="C42" s="61"/>
      <c r="D42" s="62"/>
      <c r="E42" s="35">
        <v>29</v>
      </c>
      <c r="F42" s="61"/>
      <c r="G42" s="63"/>
      <c r="H42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3" spans="2:8">
      <c r="B43" s="61"/>
      <c r="C43" s="61"/>
      <c r="D43" s="62"/>
      <c r="E43" s="35">
        <v>30</v>
      </c>
      <c r="F43" s="61"/>
      <c r="G43" s="63"/>
      <c r="H43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4" spans="2:8">
      <c r="B44" s="61"/>
      <c r="C44" s="61"/>
      <c r="D44" s="62"/>
      <c r="E44" s="35">
        <v>31</v>
      </c>
      <c r="F44" s="61"/>
      <c r="G44" s="63"/>
      <c r="H44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5" spans="2:8">
      <c r="B45" s="61"/>
      <c r="C45" s="61"/>
      <c r="D45" s="62"/>
      <c r="E45" s="35">
        <v>32</v>
      </c>
      <c r="F45" s="61"/>
      <c r="G45" s="63"/>
      <c r="H45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6" spans="2:8">
      <c r="B46" s="61"/>
      <c r="C46" s="61"/>
      <c r="D46" s="62"/>
      <c r="E46" s="35">
        <v>33</v>
      </c>
      <c r="F46" s="61"/>
      <c r="G46" s="63"/>
      <c r="H46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7" spans="2:8">
      <c r="B47" s="61"/>
      <c r="C47" s="61"/>
      <c r="D47" s="62"/>
      <c r="E47" s="35">
        <v>34</v>
      </c>
      <c r="F47" s="61"/>
      <c r="G47" s="63"/>
      <c r="H47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8" spans="2:8">
      <c r="B48" s="61"/>
      <c r="C48" s="61"/>
      <c r="D48" s="62"/>
      <c r="E48" s="35">
        <v>35</v>
      </c>
      <c r="F48" s="61"/>
      <c r="G48" s="63"/>
      <c r="H48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49" spans="2:8">
      <c r="B49" s="61"/>
      <c r="C49" s="61"/>
      <c r="D49" s="62"/>
      <c r="E49" s="35">
        <v>36</v>
      </c>
      <c r="F49" s="61"/>
      <c r="G49" s="63"/>
      <c r="H49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0" spans="2:8">
      <c r="B50" s="61"/>
      <c r="C50" s="61"/>
      <c r="D50" s="62"/>
      <c r="E50" s="35">
        <v>37</v>
      </c>
      <c r="F50" s="61"/>
      <c r="G50" s="63"/>
      <c r="H50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1" spans="2:8">
      <c r="B51" s="61"/>
      <c r="C51" s="61"/>
      <c r="D51" s="62"/>
      <c r="E51" s="35">
        <v>38</v>
      </c>
      <c r="F51" s="61"/>
      <c r="G51" s="63"/>
      <c r="H51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2" spans="2:8">
      <c r="B52" s="61"/>
      <c r="C52" s="61"/>
      <c r="D52" s="62"/>
      <c r="E52" s="35">
        <v>39</v>
      </c>
      <c r="F52" s="61"/>
      <c r="G52" s="63"/>
      <c r="H52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3" spans="2:8">
      <c r="B53" s="61"/>
      <c r="C53" s="61"/>
      <c r="D53" s="62"/>
      <c r="E53" s="35">
        <v>40</v>
      </c>
      <c r="F53" s="61"/>
      <c r="G53" s="63"/>
      <c r="H53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4" spans="2:8">
      <c r="B54" s="61"/>
      <c r="C54" s="61"/>
      <c r="D54" s="62"/>
      <c r="E54" s="35">
        <v>41</v>
      </c>
      <c r="F54" s="61"/>
      <c r="G54" s="63"/>
      <c r="H54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5" spans="2:8">
      <c r="B55" s="61"/>
      <c r="C55" s="61"/>
      <c r="D55" s="62"/>
      <c r="E55" s="35">
        <v>42</v>
      </c>
      <c r="F55" s="61"/>
      <c r="G55" s="63"/>
      <c r="H55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6" spans="2:8">
      <c r="B56" s="61"/>
      <c r="C56" s="61"/>
      <c r="D56" s="62"/>
      <c r="E56" s="35">
        <v>43</v>
      </c>
      <c r="F56" s="61"/>
      <c r="G56" s="63"/>
      <c r="H56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7" spans="2:8">
      <c r="B57" s="61"/>
      <c r="C57" s="61"/>
      <c r="D57" s="62"/>
      <c r="E57" s="35">
        <v>44</v>
      </c>
      <c r="F57" s="61"/>
      <c r="G57" s="63"/>
      <c r="H57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8" spans="2:8">
      <c r="B58" s="61"/>
      <c r="C58" s="61"/>
      <c r="D58" s="62"/>
      <c r="E58" s="35">
        <v>45</v>
      </c>
      <c r="F58" s="61"/>
      <c r="G58" s="63"/>
      <c r="H58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59" spans="2:8">
      <c r="B59" s="61"/>
      <c r="C59" s="61"/>
      <c r="D59" s="62"/>
      <c r="E59" s="35">
        <v>46</v>
      </c>
      <c r="F59" s="61"/>
      <c r="G59" s="63"/>
      <c r="H59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0" spans="2:8">
      <c r="B60" s="61"/>
      <c r="C60" s="61"/>
      <c r="D60" s="62"/>
      <c r="E60" s="35">
        <v>47</v>
      </c>
      <c r="F60" s="61"/>
      <c r="G60" s="63"/>
      <c r="H60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1" spans="2:8">
      <c r="B61" s="61"/>
      <c r="C61" s="61"/>
      <c r="D61" s="62"/>
      <c r="E61" s="35">
        <v>48</v>
      </c>
      <c r="F61" s="61"/>
      <c r="G61" s="63"/>
      <c r="H61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2" spans="2:8">
      <c r="B62" s="61"/>
      <c r="C62" s="61"/>
      <c r="D62" s="62"/>
      <c r="E62" s="35">
        <v>49</v>
      </c>
      <c r="F62" s="61"/>
      <c r="G62" s="63"/>
      <c r="H62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  <row r="63" spans="2:8">
      <c r="B63" s="61"/>
      <c r="C63" s="61"/>
      <c r="D63" s="62"/>
      <c r="E63" s="35">
        <v>50</v>
      </c>
      <c r="F63" s="61"/>
      <c r="G63" s="63"/>
      <c r="H63" s="35" t="str">
        <f>IF(ISBLANK(Tabell1[[#This Row],[Vad]]),"",IF(ISBLANK(Tabell1[[#This Row],[Datum]]),"Fyll i datum",IF(ISBLANK(Tabell1[[#This Row],[Konto]]),"Fyll i konto",IF(ISBLANK(Tabell1[[#This Row],[Belopp]]),"Fyll i belopp",IF(OR(Tabell1[[#This Row],[Konto]]="Bank till Kassa",Tabell1[[#This Row],[Konto]]="Kassa till Bank"),IF(Tabell1[[#This Row],[Vad]]="Insättning/Uttag","Rätt","Fel"),IF(Tabell1[[#This Row],[Vad]]="Insättning/Uttag",IF(OR(Tabell1[[#This Row],[Konto]]="Kassa till Bank",Tabell1[[#This Row],[Konto]]="Bank till Kassa"),"Rätt","Fel"),IF(OR(Tabell1[[#This Row],[Vad]]="Bidrag från Sveriges Elevkårer",Tabell1[[#This Row],[Vad]]="Bidrag från skolan",Tabell1[[#This Row],[Vad]]="Övriga bidrag/sponsring"),IF(Tabell1[[#This Row],[Konto]]="Bank in","Rätt","Dubbelkolla"),"Rätt")))))))</f>
        <v/>
      </c>
    </row>
  </sheetData>
  <sheetProtection algorithmName="SHA-512" hashValue="GMo1dzmIcLQLVtciNyv+EG2JcTTHQd1dgtslCUGOmboIAkw5xYC3qKD5NVgbHoLlUmuNTcPQxGjaSpZ28tHXMA==" saltValue="NtZLt9MM7fMBD5WmBoXCpQ==" spinCount="100000" sheet="1" objects="1" scenarios="1" selectLockedCells="1"/>
  <mergeCells count="6">
    <mergeCell ref="F8:G8"/>
    <mergeCell ref="F9:G9"/>
    <mergeCell ref="F10:G10"/>
    <mergeCell ref="B2:C5"/>
    <mergeCell ref="D2:H5"/>
    <mergeCell ref="D8:E8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'Siffror (Rör ej)'!$B$21:$B$26</xm:f>
          </x14:formula1>
          <xm:sqref>F14:F63</xm:sqref>
        </x14:dataValidation>
        <x14:dataValidation type="list" allowBlank="1" showInputMessage="1" showErrorMessage="1" xr:uid="{00000000-0002-0000-0100-000001000000}">
          <x14:formula1>
            <xm:f>'Siffror (Rör ej)'!$D$4:$D$16</xm:f>
          </x14:formula1>
          <xm:sqref>B14:B63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63"/>
  <sheetViews>
    <sheetView zoomScale="90" zoomScaleNormal="90" workbookViewId="0">
      <selection activeCell="D29" sqref="D29"/>
    </sheetView>
  </sheetViews>
  <sheetFormatPr defaultColWidth="8.5703125" defaultRowHeight="14.1"/>
  <cols>
    <col min="1" max="1" width="8.5703125" style="24"/>
    <col min="2" max="2" width="27" style="24" customWidth="1"/>
    <col min="3" max="3" width="27.42578125" style="24" customWidth="1"/>
    <col min="4" max="4" width="14.140625" style="24" customWidth="1"/>
    <col min="5" max="5" width="4.5703125" style="24" customWidth="1"/>
    <col min="6" max="6" width="13" style="24" customWidth="1"/>
    <col min="7" max="7" width="16.5703125" style="24" customWidth="1"/>
    <col min="8" max="8" width="12.42578125" style="24" customWidth="1"/>
    <col min="9" max="16384" width="8.5703125" style="24"/>
  </cols>
  <sheetData>
    <row r="2" spans="2:8">
      <c r="B2" s="82" t="s">
        <v>68</v>
      </c>
      <c r="C2" s="82"/>
      <c r="D2" s="82" t="s">
        <v>69</v>
      </c>
      <c r="E2" s="82"/>
      <c r="F2" s="82"/>
      <c r="G2" s="82"/>
      <c r="H2" s="82"/>
    </row>
    <row r="3" spans="2:8">
      <c r="B3" s="82"/>
      <c r="C3" s="82"/>
      <c r="D3" s="82"/>
      <c r="E3" s="82"/>
      <c r="F3" s="82"/>
      <c r="G3" s="82"/>
      <c r="H3" s="82"/>
    </row>
    <row r="4" spans="2:8">
      <c r="B4" s="82"/>
      <c r="C4" s="82"/>
      <c r="D4" s="82"/>
      <c r="E4" s="82"/>
      <c r="F4" s="82"/>
      <c r="G4" s="82"/>
      <c r="H4" s="82"/>
    </row>
    <row r="5" spans="2:8">
      <c r="B5" s="82"/>
      <c r="C5" s="82"/>
      <c r="D5" s="82"/>
      <c r="E5" s="82"/>
      <c r="F5" s="82"/>
      <c r="G5" s="82"/>
      <c r="H5" s="82"/>
    </row>
    <row r="6" spans="2:8">
      <c r="B6" s="26"/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54" t="s">
        <v>70</v>
      </c>
      <c r="C8" s="55">
        <f>Bankkonto1+ResultatBank2</f>
        <v>0</v>
      </c>
      <c r="D8" s="83" t="s">
        <v>71</v>
      </c>
      <c r="E8" s="83"/>
      <c r="F8" s="84">
        <f>BankIn2+KassaIn2-InsättningBankIn2-InsättningKassaIn2</f>
        <v>0</v>
      </c>
      <c r="G8" s="84"/>
      <c r="H8" s="26"/>
    </row>
    <row r="9" spans="2:8">
      <c r="B9" s="54" t="s">
        <v>72</v>
      </c>
      <c r="C9" s="56">
        <f>Handkassa1+ResultatKassa2</f>
        <v>0</v>
      </c>
      <c r="D9" s="57" t="s">
        <v>73</v>
      </c>
      <c r="E9" s="57"/>
      <c r="F9" s="85">
        <f>BankUt2+KassaUt2-InsättningBankUt2-InsättningKassaUt2</f>
        <v>0</v>
      </c>
      <c r="G9" s="85"/>
      <c r="H9" s="26"/>
    </row>
    <row r="10" spans="2:8">
      <c r="B10" s="54" t="s">
        <v>74</v>
      </c>
      <c r="C10" s="58">
        <f>SUM(C8:C9)</f>
        <v>0</v>
      </c>
      <c r="D10" s="57" t="s">
        <v>69</v>
      </c>
      <c r="E10" s="57"/>
      <c r="F10" s="81">
        <f>F8-F9</f>
        <v>0</v>
      </c>
      <c r="G10" s="81"/>
      <c r="H10" s="26"/>
    </row>
    <row r="11" spans="2:8">
      <c r="B11" s="26"/>
      <c r="C11" s="26"/>
      <c r="D11" s="26"/>
      <c r="E11" s="26"/>
      <c r="F11" s="26"/>
      <c r="G11" s="26"/>
      <c r="H11" s="26"/>
    </row>
    <row r="13" spans="2:8">
      <c r="B13" s="59" t="s">
        <v>2</v>
      </c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</row>
    <row r="14" spans="2:8">
      <c r="B14" s="61"/>
      <c r="C14" s="61"/>
      <c r="D14" s="62"/>
      <c r="E14" s="35">
        <v>50</v>
      </c>
      <c r="F14" s="61"/>
      <c r="G14" s="63"/>
      <c r="H14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15" spans="2:8">
      <c r="B15" s="61"/>
      <c r="C15" s="61"/>
      <c r="D15" s="62"/>
      <c r="E15" s="35">
        <v>51</v>
      </c>
      <c r="F15" s="61"/>
      <c r="G15" s="63"/>
      <c r="H15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16" spans="2:8">
      <c r="B16" s="61"/>
      <c r="C16" s="61"/>
      <c r="D16" s="62"/>
      <c r="E16" s="35">
        <v>52</v>
      </c>
      <c r="F16" s="61"/>
      <c r="G16" s="63"/>
      <c r="H16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17" spans="2:8">
      <c r="B17" s="61"/>
      <c r="C17" s="61"/>
      <c r="D17" s="62"/>
      <c r="E17" s="35">
        <v>53</v>
      </c>
      <c r="F17" s="61"/>
      <c r="G17" s="63"/>
      <c r="H17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18" spans="2:8">
      <c r="B18" s="61"/>
      <c r="C18" s="61"/>
      <c r="D18" s="62"/>
      <c r="E18" s="35">
        <v>54</v>
      </c>
      <c r="F18" s="61"/>
      <c r="G18" s="63"/>
      <c r="H18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19" spans="2:8">
      <c r="B19" s="61"/>
      <c r="C19" s="61"/>
      <c r="D19" s="62"/>
      <c r="E19" s="35">
        <v>55</v>
      </c>
      <c r="F19" s="61"/>
      <c r="G19" s="63"/>
      <c r="H19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0" spans="2:8">
      <c r="B20" s="61"/>
      <c r="C20" s="61"/>
      <c r="D20" s="62"/>
      <c r="E20" s="35">
        <v>56</v>
      </c>
      <c r="F20" s="61"/>
      <c r="G20" s="63"/>
      <c r="H20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1" spans="2:8">
      <c r="B21" s="61"/>
      <c r="C21" s="61"/>
      <c r="D21" s="62"/>
      <c r="E21" s="35">
        <v>57</v>
      </c>
      <c r="F21" s="61"/>
      <c r="G21" s="63"/>
      <c r="H21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2" spans="2:8">
      <c r="B22" s="61"/>
      <c r="C22" s="61"/>
      <c r="D22" s="62"/>
      <c r="E22" s="35">
        <v>58</v>
      </c>
      <c r="F22" s="61"/>
      <c r="G22" s="63"/>
      <c r="H22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3" spans="2:8">
      <c r="B23" s="61"/>
      <c r="C23" s="61"/>
      <c r="D23" s="62"/>
      <c r="E23" s="35">
        <v>59</v>
      </c>
      <c r="F23" s="61"/>
      <c r="G23" s="63"/>
      <c r="H23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4" spans="2:8">
      <c r="B24" s="61"/>
      <c r="C24" s="61"/>
      <c r="D24" s="62"/>
      <c r="E24" s="35">
        <v>60</v>
      </c>
      <c r="F24" s="61"/>
      <c r="G24" s="63"/>
      <c r="H24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5" spans="2:8">
      <c r="B25" s="61"/>
      <c r="C25" s="61"/>
      <c r="D25" s="62"/>
      <c r="E25" s="35">
        <v>61</v>
      </c>
      <c r="F25" s="61"/>
      <c r="G25" s="63"/>
      <c r="H25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6" spans="2:8">
      <c r="B26" s="61"/>
      <c r="C26" s="61"/>
      <c r="D26" s="62"/>
      <c r="E26" s="35">
        <v>62</v>
      </c>
      <c r="F26" s="61"/>
      <c r="G26" s="63"/>
      <c r="H26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7" spans="2:8">
      <c r="B27" s="61"/>
      <c r="C27" s="61"/>
      <c r="D27" s="62"/>
      <c r="E27" s="35">
        <v>63</v>
      </c>
      <c r="F27" s="61"/>
      <c r="G27" s="63"/>
      <c r="H27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8" spans="2:8">
      <c r="B28" s="61"/>
      <c r="C28" s="61"/>
      <c r="D28" s="62"/>
      <c r="E28" s="35">
        <v>64</v>
      </c>
      <c r="F28" s="61"/>
      <c r="G28" s="63"/>
      <c r="H28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29" spans="2:8">
      <c r="B29" s="61"/>
      <c r="C29" s="61"/>
      <c r="D29" s="62"/>
      <c r="E29" s="35">
        <v>65</v>
      </c>
      <c r="F29" s="61"/>
      <c r="G29" s="63"/>
      <c r="H29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0" spans="2:8">
      <c r="B30" s="61"/>
      <c r="C30" s="61"/>
      <c r="D30" s="62"/>
      <c r="E30" s="35">
        <v>66</v>
      </c>
      <c r="F30" s="61"/>
      <c r="G30" s="63"/>
      <c r="H30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1" spans="2:8">
      <c r="B31" s="61"/>
      <c r="C31" s="61"/>
      <c r="D31" s="62"/>
      <c r="E31" s="35">
        <v>67</v>
      </c>
      <c r="F31" s="61"/>
      <c r="G31" s="63"/>
      <c r="H31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2" spans="2:8">
      <c r="B32" s="61"/>
      <c r="C32" s="61"/>
      <c r="D32" s="62"/>
      <c r="E32" s="35">
        <v>68</v>
      </c>
      <c r="F32" s="61"/>
      <c r="G32" s="63"/>
      <c r="H32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3" spans="2:8">
      <c r="B33" s="61"/>
      <c r="C33" s="61"/>
      <c r="D33" s="62"/>
      <c r="E33" s="35">
        <v>69</v>
      </c>
      <c r="F33" s="61"/>
      <c r="G33" s="63"/>
      <c r="H33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4" spans="2:8">
      <c r="B34" s="61"/>
      <c r="C34" s="61"/>
      <c r="D34" s="62"/>
      <c r="E34" s="35">
        <v>70</v>
      </c>
      <c r="F34" s="61"/>
      <c r="G34" s="63"/>
      <c r="H34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5" spans="2:8">
      <c r="B35" s="61"/>
      <c r="C35" s="61"/>
      <c r="D35" s="62"/>
      <c r="E35" s="35">
        <v>71</v>
      </c>
      <c r="F35" s="61"/>
      <c r="G35" s="63"/>
      <c r="H35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6" spans="2:8">
      <c r="B36" s="61"/>
      <c r="C36" s="61"/>
      <c r="D36" s="62"/>
      <c r="E36" s="35">
        <v>72</v>
      </c>
      <c r="F36" s="61"/>
      <c r="G36" s="63"/>
      <c r="H36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7" spans="2:8">
      <c r="B37" s="61"/>
      <c r="C37" s="61"/>
      <c r="D37" s="62"/>
      <c r="E37" s="35">
        <v>73</v>
      </c>
      <c r="F37" s="61"/>
      <c r="G37" s="63"/>
      <c r="H37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8" spans="2:8">
      <c r="B38" s="61"/>
      <c r="C38" s="61"/>
      <c r="D38" s="62"/>
      <c r="E38" s="35">
        <v>74</v>
      </c>
      <c r="F38" s="61"/>
      <c r="G38" s="63"/>
      <c r="H38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39" spans="2:8">
      <c r="B39" s="61"/>
      <c r="C39" s="61"/>
      <c r="D39" s="62"/>
      <c r="E39" s="35">
        <v>75</v>
      </c>
      <c r="F39" s="61"/>
      <c r="G39" s="63"/>
      <c r="H39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0" spans="2:8">
      <c r="B40" s="61"/>
      <c r="C40" s="61"/>
      <c r="D40" s="62"/>
      <c r="E40" s="35">
        <v>76</v>
      </c>
      <c r="F40" s="61"/>
      <c r="G40" s="63"/>
      <c r="H40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1" spans="2:8">
      <c r="B41" s="61"/>
      <c r="C41" s="61"/>
      <c r="D41" s="62"/>
      <c r="E41" s="35">
        <v>77</v>
      </c>
      <c r="F41" s="61"/>
      <c r="G41" s="63"/>
      <c r="H41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2" spans="2:8">
      <c r="B42" s="61"/>
      <c r="C42" s="61"/>
      <c r="D42" s="62"/>
      <c r="E42" s="35">
        <v>78</v>
      </c>
      <c r="F42" s="61"/>
      <c r="G42" s="63"/>
      <c r="H42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3" spans="2:8">
      <c r="B43" s="61"/>
      <c r="C43" s="61"/>
      <c r="D43" s="62"/>
      <c r="E43" s="35">
        <v>79</v>
      </c>
      <c r="F43" s="61"/>
      <c r="G43" s="63"/>
      <c r="H43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4" spans="2:8">
      <c r="B44" s="61"/>
      <c r="C44" s="61"/>
      <c r="D44" s="62"/>
      <c r="E44" s="35">
        <v>80</v>
      </c>
      <c r="F44" s="61"/>
      <c r="G44" s="63"/>
      <c r="H44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5" spans="2:8">
      <c r="B45" s="61"/>
      <c r="C45" s="61"/>
      <c r="D45" s="62"/>
      <c r="E45" s="35">
        <v>81</v>
      </c>
      <c r="F45" s="61"/>
      <c r="G45" s="63"/>
      <c r="H45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6" spans="2:8">
      <c r="B46" s="61"/>
      <c r="C46" s="61"/>
      <c r="D46" s="62"/>
      <c r="E46" s="35">
        <v>82</v>
      </c>
      <c r="F46" s="61"/>
      <c r="G46" s="63"/>
      <c r="H46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7" spans="2:8">
      <c r="B47" s="61"/>
      <c r="C47" s="61"/>
      <c r="D47" s="62"/>
      <c r="E47" s="35">
        <v>83</v>
      </c>
      <c r="F47" s="61"/>
      <c r="G47" s="63"/>
      <c r="H47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8" spans="2:8">
      <c r="B48" s="61"/>
      <c r="C48" s="61"/>
      <c r="D48" s="62"/>
      <c r="E48" s="35">
        <v>84</v>
      </c>
      <c r="F48" s="61"/>
      <c r="G48" s="63"/>
      <c r="H48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49" spans="2:8">
      <c r="B49" s="61"/>
      <c r="C49" s="61"/>
      <c r="D49" s="62"/>
      <c r="E49" s="35">
        <v>85</v>
      </c>
      <c r="F49" s="61"/>
      <c r="G49" s="63"/>
      <c r="H49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0" spans="2:8">
      <c r="B50" s="61"/>
      <c r="C50" s="61"/>
      <c r="D50" s="62"/>
      <c r="E50" s="35">
        <v>86</v>
      </c>
      <c r="F50" s="61"/>
      <c r="G50" s="63"/>
      <c r="H50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1" spans="2:8">
      <c r="B51" s="61"/>
      <c r="C51" s="61"/>
      <c r="D51" s="62"/>
      <c r="E51" s="35">
        <v>87</v>
      </c>
      <c r="F51" s="61"/>
      <c r="G51" s="63"/>
      <c r="H51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2" spans="2:8">
      <c r="B52" s="61"/>
      <c r="C52" s="61"/>
      <c r="D52" s="62"/>
      <c r="E52" s="35">
        <v>88</v>
      </c>
      <c r="F52" s="61"/>
      <c r="G52" s="63"/>
      <c r="H52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3" spans="2:8">
      <c r="B53" s="61"/>
      <c r="C53" s="61"/>
      <c r="D53" s="62"/>
      <c r="E53" s="35">
        <v>89</v>
      </c>
      <c r="F53" s="61"/>
      <c r="G53" s="63"/>
      <c r="H53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4" spans="2:8">
      <c r="B54" s="61"/>
      <c r="C54" s="61"/>
      <c r="D54" s="62"/>
      <c r="E54" s="35">
        <v>90</v>
      </c>
      <c r="F54" s="61"/>
      <c r="G54" s="63"/>
      <c r="H54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5" spans="2:8">
      <c r="B55" s="61"/>
      <c r="C55" s="61"/>
      <c r="D55" s="62"/>
      <c r="E55" s="35">
        <v>91</v>
      </c>
      <c r="F55" s="61"/>
      <c r="G55" s="63"/>
      <c r="H55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6" spans="2:8">
      <c r="B56" s="61"/>
      <c r="C56" s="61"/>
      <c r="D56" s="62"/>
      <c r="E56" s="35">
        <v>92</v>
      </c>
      <c r="F56" s="61"/>
      <c r="G56" s="63"/>
      <c r="H56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7" spans="2:8">
      <c r="B57" s="61"/>
      <c r="C57" s="61"/>
      <c r="D57" s="62"/>
      <c r="E57" s="35">
        <v>93</v>
      </c>
      <c r="F57" s="61"/>
      <c r="G57" s="63"/>
      <c r="H57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8" spans="2:8">
      <c r="B58" s="61"/>
      <c r="C58" s="61"/>
      <c r="D58" s="62"/>
      <c r="E58" s="35">
        <v>94</v>
      </c>
      <c r="F58" s="61"/>
      <c r="G58" s="63"/>
      <c r="H58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59" spans="2:8">
      <c r="B59" s="61"/>
      <c r="C59" s="61"/>
      <c r="D59" s="62"/>
      <c r="E59" s="35">
        <v>95</v>
      </c>
      <c r="F59" s="61"/>
      <c r="G59" s="63"/>
      <c r="H59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60" spans="2:8">
      <c r="B60" s="61"/>
      <c r="C60" s="61"/>
      <c r="D60" s="62"/>
      <c r="E60" s="35">
        <v>96</v>
      </c>
      <c r="F60" s="61"/>
      <c r="G60" s="63"/>
      <c r="H60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61" spans="2:8">
      <c r="B61" s="61"/>
      <c r="C61" s="61"/>
      <c r="D61" s="62"/>
      <c r="E61" s="35">
        <v>97</v>
      </c>
      <c r="F61" s="61"/>
      <c r="G61" s="63"/>
      <c r="H61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62" spans="2:8">
      <c r="B62" s="61"/>
      <c r="C62" s="61"/>
      <c r="D62" s="62"/>
      <c r="E62" s="35">
        <v>98</v>
      </c>
      <c r="F62" s="61"/>
      <c r="G62" s="63"/>
      <c r="H62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  <row r="63" spans="2:8">
      <c r="B63" s="61"/>
      <c r="C63" s="61"/>
      <c r="D63" s="62"/>
      <c r="E63" s="35">
        <v>99</v>
      </c>
      <c r="F63" s="61"/>
      <c r="G63" s="63"/>
      <c r="H63" s="35" t="str">
        <f>IF(ISBLANK(Tabell2[[#This Row],[Vad]]),"",IF(ISBLANK(Tabell2[[#This Row],[Datum]]),"Fyll i datum",IF(ISBLANK(Tabell2[[#This Row],[Konto]]),"Fyll i konto",IF(ISBLANK(Tabell2[[#This Row],[Belopp]]),"Fyll i belopp",IF(OR(Tabell2[[#This Row],[Konto]]="Bank till Kassa",Tabell2[[#This Row],[Konto]]="Kassa till Bank"),IF(Tabell2[[#This Row],[Vad]]="Insättning/Uttag","Rätt","Fel"),IF(Tabell2[[#This Row],[Vad]]="Insättning/Uttag",IF(OR(Tabell2[[#This Row],[Konto]]="Kassa till Bank",Tabell2[[#This Row],[Konto]]="Bank till Kassa"),"Rätt","Fel"),"Rätt"))))))</f>
        <v/>
      </c>
    </row>
  </sheetData>
  <sheetProtection algorithmName="SHA-512" hashValue="lY+uUmLD8XqNlz5r20gCPmzv+jS1vAigNxG3qyDq5nCbBfcBCOcfww1y6pH2cpl2rlBPYUPwOaWrYxemjAos4g==" saltValue="eph4rP6aS+nYJhE8Ufvt/w==" spinCount="100000" sheet="1" objects="1" scenarios="1"/>
  <mergeCells count="6">
    <mergeCell ref="F10:G10"/>
    <mergeCell ref="B2:C5"/>
    <mergeCell ref="D2:H5"/>
    <mergeCell ref="D8:E8"/>
    <mergeCell ref="F8:G8"/>
    <mergeCell ref="F9:G9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'Siffror (Rör ej)'!$B$21:$B$26</xm:f>
          </x14:formula1>
          <xm:sqref>F14:F63</xm:sqref>
        </x14:dataValidation>
        <x14:dataValidation type="list" allowBlank="1" showInputMessage="1" showErrorMessage="1" xr:uid="{00000000-0002-0000-0200-000001000000}">
          <x14:formula1>
            <xm:f>'Siffror (Rör ej)'!$D$4:$D$16</xm:f>
          </x14:formula1>
          <xm:sqref>B14:B63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64"/>
  <sheetViews>
    <sheetView zoomScale="107" zoomScaleNormal="85" workbookViewId="0">
      <selection activeCell="C20" sqref="C20"/>
    </sheetView>
  </sheetViews>
  <sheetFormatPr defaultColWidth="8.5703125" defaultRowHeight="14.1"/>
  <cols>
    <col min="1" max="1" width="8.5703125" style="24"/>
    <col min="2" max="2" width="27" style="24" customWidth="1"/>
    <col min="3" max="3" width="27.42578125" style="24" customWidth="1"/>
    <col min="4" max="4" width="14.140625" style="24" customWidth="1"/>
    <col min="5" max="5" width="4.5703125" style="24" customWidth="1"/>
    <col min="6" max="6" width="13" style="24" customWidth="1"/>
    <col min="7" max="7" width="16.5703125" style="24" customWidth="1"/>
    <col min="8" max="8" width="12.5703125" style="24" customWidth="1"/>
    <col min="9" max="16384" width="8.5703125" style="24"/>
  </cols>
  <sheetData>
    <row r="2" spans="2:8">
      <c r="B2" s="82" t="s">
        <v>68</v>
      </c>
      <c r="C2" s="82"/>
      <c r="D2" s="82" t="s">
        <v>69</v>
      </c>
      <c r="E2" s="82"/>
      <c r="F2" s="82"/>
      <c r="G2" s="82"/>
      <c r="H2" s="82"/>
    </row>
    <row r="3" spans="2:8">
      <c r="B3" s="82"/>
      <c r="C3" s="82"/>
      <c r="D3" s="82"/>
      <c r="E3" s="82"/>
      <c r="F3" s="82"/>
      <c r="G3" s="82"/>
      <c r="H3" s="82"/>
    </row>
    <row r="4" spans="2:8">
      <c r="B4" s="82"/>
      <c r="C4" s="82"/>
      <c r="D4" s="82"/>
      <c r="E4" s="82"/>
      <c r="F4" s="82"/>
      <c r="G4" s="82"/>
      <c r="H4" s="82"/>
    </row>
    <row r="5" spans="2:8">
      <c r="B5" s="82"/>
      <c r="C5" s="82"/>
      <c r="D5" s="82"/>
      <c r="E5" s="82"/>
      <c r="F5" s="82"/>
      <c r="G5" s="82"/>
      <c r="H5" s="82"/>
    </row>
    <row r="6" spans="2:8">
      <c r="B6" s="26"/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54" t="s">
        <v>70</v>
      </c>
      <c r="C8" s="55">
        <f>Bankkonto2+ResultatBank3</f>
        <v>0</v>
      </c>
      <c r="D8" s="83" t="s">
        <v>71</v>
      </c>
      <c r="E8" s="83"/>
      <c r="F8" s="84">
        <f>BankIn3+KassaIn3-InsättningBankIn3-InsättningKassaIn3</f>
        <v>0</v>
      </c>
      <c r="G8" s="84"/>
      <c r="H8" s="26"/>
    </row>
    <row r="9" spans="2:8">
      <c r="B9" s="54" t="s">
        <v>72</v>
      </c>
      <c r="C9" s="56">
        <f>Handkassa2+ResultatKassa3</f>
        <v>0</v>
      </c>
      <c r="D9" s="57" t="s">
        <v>73</v>
      </c>
      <c r="E9" s="57"/>
      <c r="F9" s="85">
        <f>BankUt3+KassaUt3-InsättningBankUt3-InsättningKassaUt3</f>
        <v>0</v>
      </c>
      <c r="G9" s="85"/>
      <c r="H9" s="26"/>
    </row>
    <row r="10" spans="2:8">
      <c r="B10" s="54" t="s">
        <v>74</v>
      </c>
      <c r="C10" s="58">
        <f>SUM(C8:C9)</f>
        <v>0</v>
      </c>
      <c r="D10" s="57" t="s">
        <v>69</v>
      </c>
      <c r="E10" s="57"/>
      <c r="F10" s="81">
        <f>F8-F9</f>
        <v>0</v>
      </c>
      <c r="G10" s="81"/>
      <c r="H10" s="26"/>
    </row>
    <row r="11" spans="2:8">
      <c r="B11" s="26"/>
      <c r="C11" s="26"/>
      <c r="D11" s="26"/>
      <c r="E11" s="26"/>
      <c r="F11" s="26"/>
      <c r="G11" s="26"/>
      <c r="H11" s="26"/>
    </row>
    <row r="13" spans="2:8">
      <c r="B13" s="59" t="s">
        <v>2</v>
      </c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</row>
    <row r="14" spans="2:8">
      <c r="B14" s="61"/>
      <c r="C14" s="61"/>
      <c r="D14" s="62"/>
      <c r="E14" s="35">
        <v>100</v>
      </c>
      <c r="F14" s="61"/>
      <c r="G14" s="63"/>
      <c r="H1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15" spans="2:8">
      <c r="B15" s="61"/>
      <c r="C15" s="61"/>
      <c r="D15" s="62"/>
      <c r="E15" s="35">
        <v>101</v>
      </c>
      <c r="F15" s="61"/>
      <c r="G15" s="63"/>
      <c r="H15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16" spans="2:8">
      <c r="B16" s="61"/>
      <c r="C16" s="61"/>
      <c r="D16" s="62"/>
      <c r="E16" s="35">
        <v>102</v>
      </c>
      <c r="F16" s="61"/>
      <c r="G16" s="63"/>
      <c r="H16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17" spans="2:8">
      <c r="B17" s="61"/>
      <c r="C17" s="61"/>
      <c r="D17" s="62"/>
      <c r="E17" s="35">
        <v>103</v>
      </c>
      <c r="F17" s="61"/>
      <c r="G17" s="63"/>
      <c r="H17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18" spans="2:8">
      <c r="B18" s="61"/>
      <c r="C18" s="61"/>
      <c r="D18" s="62"/>
      <c r="E18" s="35">
        <v>104</v>
      </c>
      <c r="F18" s="61"/>
      <c r="G18" s="63"/>
      <c r="H18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19" spans="2:8">
      <c r="B19" s="61"/>
      <c r="C19" s="61"/>
      <c r="D19" s="62"/>
      <c r="E19" s="35">
        <v>105</v>
      </c>
      <c r="F19" s="61"/>
      <c r="G19" s="63"/>
      <c r="H19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0" spans="2:8">
      <c r="B20" s="61"/>
      <c r="C20" s="61"/>
      <c r="D20" s="62"/>
      <c r="E20" s="35">
        <v>106</v>
      </c>
      <c r="F20" s="61"/>
      <c r="G20" s="63"/>
      <c r="H20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1" spans="2:8">
      <c r="B21" s="61"/>
      <c r="C21" s="61"/>
      <c r="D21" s="62"/>
      <c r="E21" s="35">
        <v>107</v>
      </c>
      <c r="F21" s="61"/>
      <c r="G21" s="63"/>
      <c r="H21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2" spans="2:8">
      <c r="B22" s="61"/>
      <c r="C22" s="61"/>
      <c r="D22" s="62"/>
      <c r="E22" s="35">
        <v>108</v>
      </c>
      <c r="F22" s="61"/>
      <c r="G22" s="63"/>
      <c r="H22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3" spans="2:8">
      <c r="B23" s="61"/>
      <c r="C23" s="61"/>
      <c r="D23" s="62"/>
      <c r="E23" s="35">
        <v>109</v>
      </c>
      <c r="F23" s="61"/>
      <c r="G23" s="63"/>
      <c r="H23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4" spans="2:8">
      <c r="B24" s="61"/>
      <c r="C24" s="61"/>
      <c r="D24" s="62"/>
      <c r="E24" s="35">
        <v>110</v>
      </c>
      <c r="F24" s="61"/>
      <c r="G24" s="63"/>
      <c r="H2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5" spans="2:8">
      <c r="B25" s="61"/>
      <c r="C25" s="61"/>
      <c r="D25" s="62"/>
      <c r="E25" s="35">
        <v>111</v>
      </c>
      <c r="F25" s="61"/>
      <c r="G25" s="63"/>
      <c r="H25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6" spans="2:8">
      <c r="B26" s="61"/>
      <c r="C26" s="61"/>
      <c r="D26" s="62"/>
      <c r="E26" s="35">
        <v>112</v>
      </c>
      <c r="F26" s="61"/>
      <c r="G26" s="63"/>
      <c r="H26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7" spans="2:8">
      <c r="B27" s="61"/>
      <c r="C27" s="61"/>
      <c r="D27" s="62"/>
      <c r="E27" s="35">
        <v>113</v>
      </c>
      <c r="F27" s="61"/>
      <c r="G27" s="63"/>
      <c r="H27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8" spans="2:8">
      <c r="B28" s="61"/>
      <c r="C28" s="61"/>
      <c r="D28" s="62"/>
      <c r="E28" s="35">
        <v>114</v>
      </c>
      <c r="F28" s="61"/>
      <c r="G28" s="63"/>
      <c r="H28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29" spans="2:8">
      <c r="B29" s="61"/>
      <c r="C29" s="61"/>
      <c r="D29" s="62"/>
      <c r="E29" s="35">
        <v>115</v>
      </c>
      <c r="F29" s="61"/>
      <c r="G29" s="63"/>
      <c r="H29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0" spans="2:8">
      <c r="B30" s="61"/>
      <c r="C30" s="61"/>
      <c r="D30" s="62"/>
      <c r="E30" s="35">
        <v>116</v>
      </c>
      <c r="F30" s="61"/>
      <c r="G30" s="63"/>
      <c r="H30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1" spans="2:8">
      <c r="B31" s="61"/>
      <c r="C31" s="61"/>
      <c r="D31" s="62"/>
      <c r="E31" s="35">
        <v>117</v>
      </c>
      <c r="F31" s="61"/>
      <c r="G31" s="63"/>
      <c r="H31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2" spans="2:8">
      <c r="B32" s="61"/>
      <c r="C32" s="61"/>
      <c r="D32" s="62"/>
      <c r="E32" s="35">
        <v>118</v>
      </c>
      <c r="F32" s="61"/>
      <c r="G32" s="63"/>
      <c r="H32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3" spans="2:8">
      <c r="B33" s="61"/>
      <c r="C33" s="61"/>
      <c r="D33" s="62"/>
      <c r="E33" s="35">
        <v>119</v>
      </c>
      <c r="F33" s="61"/>
      <c r="G33" s="63"/>
      <c r="H33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4" spans="2:8">
      <c r="B34" s="61"/>
      <c r="C34" s="61"/>
      <c r="D34" s="62"/>
      <c r="E34" s="35">
        <v>120</v>
      </c>
      <c r="F34" s="61"/>
      <c r="G34" s="63"/>
      <c r="H3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5" spans="2:8">
      <c r="B35" s="61"/>
      <c r="C35" s="61"/>
      <c r="D35" s="62"/>
      <c r="E35" s="35">
        <v>121</v>
      </c>
      <c r="F35" s="61"/>
      <c r="G35" s="63"/>
      <c r="H35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6" spans="2:8">
      <c r="B36" s="61"/>
      <c r="C36" s="61"/>
      <c r="D36" s="62"/>
      <c r="E36" s="35">
        <v>122</v>
      </c>
      <c r="F36" s="61"/>
      <c r="G36" s="63"/>
      <c r="H36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7" spans="2:8">
      <c r="B37" s="61"/>
      <c r="C37" s="61"/>
      <c r="D37" s="62"/>
      <c r="E37" s="35">
        <v>123</v>
      </c>
      <c r="F37" s="61"/>
      <c r="G37" s="63"/>
      <c r="H37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8" spans="2:8">
      <c r="B38" s="61"/>
      <c r="C38" s="61"/>
      <c r="D38" s="62"/>
      <c r="E38" s="35">
        <v>124</v>
      </c>
      <c r="F38" s="61"/>
      <c r="G38" s="63"/>
      <c r="H38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39" spans="2:8">
      <c r="B39" s="61"/>
      <c r="C39" s="61"/>
      <c r="D39" s="62"/>
      <c r="E39" s="35">
        <v>125</v>
      </c>
      <c r="F39" s="61"/>
      <c r="G39" s="63"/>
      <c r="H39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0" spans="2:8">
      <c r="B40" s="61"/>
      <c r="C40" s="61"/>
      <c r="D40" s="62"/>
      <c r="E40" s="35">
        <v>126</v>
      </c>
      <c r="F40" s="61"/>
      <c r="G40" s="63"/>
      <c r="H40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1" spans="2:8">
      <c r="B41" s="61"/>
      <c r="C41" s="61"/>
      <c r="D41" s="62"/>
      <c r="E41" s="35">
        <v>127</v>
      </c>
      <c r="F41" s="61"/>
      <c r="G41" s="63"/>
      <c r="H41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2" spans="2:8">
      <c r="B42" s="61"/>
      <c r="C42" s="61"/>
      <c r="D42" s="62"/>
      <c r="E42" s="35">
        <v>128</v>
      </c>
      <c r="F42" s="61"/>
      <c r="G42" s="63"/>
      <c r="H42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3" spans="2:8">
      <c r="B43" s="61"/>
      <c r="C43" s="61"/>
      <c r="D43" s="62"/>
      <c r="E43" s="35">
        <v>129</v>
      </c>
      <c r="F43" s="61"/>
      <c r="G43" s="63"/>
      <c r="H43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4" spans="2:8">
      <c r="B44" s="61"/>
      <c r="C44" s="61"/>
      <c r="D44" s="62"/>
      <c r="E44" s="35">
        <v>130</v>
      </c>
      <c r="F44" s="61"/>
      <c r="G44" s="63"/>
      <c r="H4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5" spans="2:8">
      <c r="B45" s="61"/>
      <c r="C45" s="61"/>
      <c r="D45" s="62"/>
      <c r="E45" s="35">
        <v>131</v>
      </c>
      <c r="F45" s="61"/>
      <c r="G45" s="63"/>
      <c r="H45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6" spans="2:8">
      <c r="B46" s="61"/>
      <c r="C46" s="61"/>
      <c r="D46" s="62"/>
      <c r="E46" s="35">
        <v>132</v>
      </c>
      <c r="F46" s="61"/>
      <c r="G46" s="63"/>
      <c r="H46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7" spans="2:8">
      <c r="B47" s="61"/>
      <c r="C47" s="61"/>
      <c r="D47" s="62"/>
      <c r="E47" s="35">
        <v>133</v>
      </c>
      <c r="F47" s="61"/>
      <c r="G47" s="63"/>
      <c r="H47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8" spans="2:8">
      <c r="B48" s="61"/>
      <c r="C48" s="61"/>
      <c r="D48" s="62"/>
      <c r="E48" s="35">
        <v>134</v>
      </c>
      <c r="F48" s="61"/>
      <c r="G48" s="63"/>
      <c r="H48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49" spans="2:8">
      <c r="B49" s="61"/>
      <c r="C49" s="61"/>
      <c r="D49" s="62"/>
      <c r="E49" s="35">
        <v>135</v>
      </c>
      <c r="F49" s="61"/>
      <c r="G49" s="63"/>
      <c r="H49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0" spans="2:8">
      <c r="B50" s="61"/>
      <c r="C50" s="61"/>
      <c r="D50" s="62"/>
      <c r="E50" s="35">
        <v>136</v>
      </c>
      <c r="F50" s="61"/>
      <c r="G50" s="63"/>
      <c r="H50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1" spans="2:8">
      <c r="B51" s="61"/>
      <c r="C51" s="61"/>
      <c r="D51" s="62"/>
      <c r="E51" s="35">
        <v>137</v>
      </c>
      <c r="F51" s="61"/>
      <c r="G51" s="63"/>
      <c r="H51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2" spans="2:8">
      <c r="B52" s="61"/>
      <c r="C52" s="61"/>
      <c r="D52" s="62"/>
      <c r="E52" s="35">
        <v>138</v>
      </c>
      <c r="F52" s="61"/>
      <c r="G52" s="63"/>
      <c r="H52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3" spans="2:8">
      <c r="B53" s="61"/>
      <c r="C53" s="61"/>
      <c r="D53" s="62"/>
      <c r="E53" s="35">
        <v>139</v>
      </c>
      <c r="F53" s="61"/>
      <c r="G53" s="63"/>
      <c r="H53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4" spans="2:8">
      <c r="B54" s="61"/>
      <c r="C54" s="61"/>
      <c r="D54" s="62"/>
      <c r="E54" s="35">
        <v>140</v>
      </c>
      <c r="F54" s="61"/>
      <c r="G54" s="63"/>
      <c r="H5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5" spans="2:8">
      <c r="B55" s="61"/>
      <c r="C55" s="61"/>
      <c r="D55" s="62"/>
      <c r="E55" s="35">
        <v>141</v>
      </c>
      <c r="F55" s="61"/>
      <c r="G55" s="63"/>
      <c r="H55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6" spans="2:8">
      <c r="B56" s="61"/>
      <c r="C56" s="61"/>
      <c r="D56" s="62"/>
      <c r="E56" s="35">
        <v>142</v>
      </c>
      <c r="F56" s="61"/>
      <c r="G56" s="63"/>
      <c r="H56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7" spans="2:8">
      <c r="B57" s="61"/>
      <c r="C57" s="61"/>
      <c r="D57" s="62"/>
      <c r="E57" s="35">
        <v>143</v>
      </c>
      <c r="F57" s="61"/>
      <c r="G57" s="63"/>
      <c r="H57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8" spans="2:8">
      <c r="B58" s="61"/>
      <c r="C58" s="61"/>
      <c r="D58" s="62"/>
      <c r="E58" s="35">
        <v>144</v>
      </c>
      <c r="F58" s="61"/>
      <c r="G58" s="63"/>
      <c r="H58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59" spans="2:8">
      <c r="B59" s="61"/>
      <c r="C59" s="61"/>
      <c r="D59" s="62"/>
      <c r="E59" s="35">
        <v>145</v>
      </c>
      <c r="F59" s="61"/>
      <c r="G59" s="63"/>
      <c r="H59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60" spans="2:8">
      <c r="B60" s="61"/>
      <c r="C60" s="61"/>
      <c r="D60" s="62"/>
      <c r="E60" s="35">
        <v>146</v>
      </c>
      <c r="F60" s="61"/>
      <c r="G60" s="63"/>
      <c r="H60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61" spans="2:8">
      <c r="B61" s="61"/>
      <c r="C61" s="61"/>
      <c r="D61" s="62"/>
      <c r="E61" s="35">
        <v>147</v>
      </c>
      <c r="F61" s="61"/>
      <c r="G61" s="63"/>
      <c r="H61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62" spans="2:8">
      <c r="B62" s="61"/>
      <c r="C62" s="61"/>
      <c r="D62" s="62"/>
      <c r="E62" s="35">
        <v>148</v>
      </c>
      <c r="F62" s="61"/>
      <c r="G62" s="63"/>
      <c r="H62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63" spans="2:8">
      <c r="B63" s="61"/>
      <c r="C63" s="61"/>
      <c r="D63" s="62"/>
      <c r="E63" s="35">
        <v>149</v>
      </c>
      <c r="F63" s="61"/>
      <c r="G63" s="63"/>
      <c r="H63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  <row r="64" spans="2:8">
      <c r="B64" s="61"/>
      <c r="C64" s="61"/>
      <c r="D64" s="62"/>
      <c r="E64" s="35">
        <v>150</v>
      </c>
      <c r="F64" s="61"/>
      <c r="G64" s="63"/>
      <c r="H64" s="35" t="str">
        <f>IF(ISBLANK(Tabell3[[#This Row],[Vad]]),"",IF(ISBLANK(Tabell3[[#This Row],[Datum]]),"Fyll i datum",IF(ISBLANK(Tabell3[[#This Row],[Konto]]),"Fyll i konto",IF(ISBLANK(Tabell3[[#This Row],[Belopp]]),"Fyll i belopp",IF(OR(Tabell3[[#This Row],[Konto]]="Bank till Kassa",Tabell3[[#This Row],[Konto]]="Kassa till Bank"),IF(Tabell3[[#This Row],[Vad]]="Insättning/Uttag","Rätt","Fel"),IF(Tabell3[[#This Row],[Vad]]="Insättning/Uttag",IF(OR(Tabell3[[#This Row],[Konto]]="Kassa till Bank",Tabell3[[#This Row],[Konto]]="Bank till Kassa"),"Rätt","Fel"),"Rätt"))))))</f>
        <v/>
      </c>
    </row>
  </sheetData>
  <sheetProtection algorithmName="SHA-512" hashValue="61sGxslXDWzX6M+XuYzSnACNV4xX1rAQQXHOEABS9t8Pf5YkfgL9BIUk2CCFgeApJUcp6ZF8XLp05bpHqeG5zQ==" saltValue="50t5FKZvIoxwpX9MSfLk7A==" spinCount="100000" sheet="1" objects="1" scenarios="1" selectLockedCells="1"/>
  <mergeCells count="6">
    <mergeCell ref="F10:G10"/>
    <mergeCell ref="B2:C5"/>
    <mergeCell ref="D2:H5"/>
    <mergeCell ref="D8:E8"/>
    <mergeCell ref="F8:G8"/>
    <mergeCell ref="F9:G9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'Siffror (Rör ej)'!$B$21:$B$26</xm:f>
          </x14:formula1>
          <xm:sqref>F14:F64</xm:sqref>
        </x14:dataValidation>
        <x14:dataValidation type="list" allowBlank="1" showInputMessage="1" showErrorMessage="1" xr:uid="{00000000-0002-0000-0300-000001000000}">
          <x14:formula1>
            <xm:f>'Siffror (Rör ej)'!$D$4:$D$16</xm:f>
          </x14:formula1>
          <xm:sqref>B14:B64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1105-5BD1-554D-ABA1-0943B78675FD}">
  <dimension ref="B2:H63"/>
  <sheetViews>
    <sheetView zoomScale="113" zoomScaleNormal="85" workbookViewId="0">
      <selection activeCell="B14" sqref="B14"/>
    </sheetView>
  </sheetViews>
  <sheetFormatPr defaultColWidth="8.5703125" defaultRowHeight="14.1"/>
  <cols>
    <col min="1" max="1" width="8.5703125" style="24"/>
    <col min="2" max="2" width="27" style="24" customWidth="1"/>
    <col min="3" max="3" width="27.42578125" style="24" customWidth="1"/>
    <col min="4" max="4" width="14.140625" style="24" customWidth="1"/>
    <col min="5" max="5" width="4.5703125" style="24" customWidth="1"/>
    <col min="6" max="6" width="13" style="24" customWidth="1"/>
    <col min="7" max="7" width="16.5703125" style="24" customWidth="1"/>
    <col min="8" max="8" width="12.5703125" style="24" customWidth="1"/>
    <col min="9" max="16384" width="8.5703125" style="24"/>
  </cols>
  <sheetData>
    <row r="2" spans="2:8">
      <c r="B2" s="82" t="s">
        <v>68</v>
      </c>
      <c r="C2" s="82"/>
      <c r="D2" s="82" t="s">
        <v>69</v>
      </c>
      <c r="E2" s="82"/>
      <c r="F2" s="82"/>
      <c r="G2" s="82"/>
      <c r="H2" s="82"/>
    </row>
    <row r="3" spans="2:8">
      <c r="B3" s="82"/>
      <c r="C3" s="82"/>
      <c r="D3" s="82"/>
      <c r="E3" s="82"/>
      <c r="F3" s="82"/>
      <c r="G3" s="82"/>
      <c r="H3" s="82"/>
    </row>
    <row r="4" spans="2:8">
      <c r="B4" s="82"/>
      <c r="C4" s="82"/>
      <c r="D4" s="82"/>
      <c r="E4" s="82"/>
      <c r="F4" s="82"/>
      <c r="G4" s="82"/>
      <c r="H4" s="82"/>
    </row>
    <row r="5" spans="2:8">
      <c r="B5" s="82"/>
      <c r="C5" s="82"/>
      <c r="D5" s="82"/>
      <c r="E5" s="82"/>
      <c r="F5" s="82"/>
      <c r="G5" s="82"/>
      <c r="H5" s="82"/>
    </row>
    <row r="6" spans="2:8">
      <c r="B6" s="26"/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54" t="s">
        <v>70</v>
      </c>
      <c r="C8" s="55">
        <f>Bankkonto3+ResultatBank4</f>
        <v>0</v>
      </c>
      <c r="D8" s="83" t="s">
        <v>71</v>
      </c>
      <c r="E8" s="83"/>
      <c r="F8" s="84">
        <f>BankIn3+KassaIn3-InsättningBankIn3-InsättningKassaIn3</f>
        <v>0</v>
      </c>
      <c r="G8" s="84"/>
      <c r="H8" s="26"/>
    </row>
    <row r="9" spans="2:8">
      <c r="B9" s="54" t="s">
        <v>72</v>
      </c>
      <c r="C9" s="56">
        <f>Handkassa3+ResultatKassa4</f>
        <v>0</v>
      </c>
      <c r="D9" s="57" t="s">
        <v>73</v>
      </c>
      <c r="E9" s="57"/>
      <c r="F9" s="85">
        <f>BankUt3+KassaUt3-InsättningBankUt3-InsättningKassaUt3</f>
        <v>0</v>
      </c>
      <c r="G9" s="85"/>
      <c r="H9" s="26"/>
    </row>
    <row r="10" spans="2:8">
      <c r="B10" s="54" t="s">
        <v>74</v>
      </c>
      <c r="C10" s="58">
        <f>SUM(C8:C9)</f>
        <v>0</v>
      </c>
      <c r="D10" s="57" t="s">
        <v>69</v>
      </c>
      <c r="E10" s="57"/>
      <c r="F10" s="81">
        <f>F8-F9</f>
        <v>0</v>
      </c>
      <c r="G10" s="81"/>
      <c r="H10" s="26"/>
    </row>
    <row r="11" spans="2:8">
      <c r="B11" s="26"/>
      <c r="C11" s="26"/>
      <c r="D11" s="26"/>
      <c r="E11" s="26"/>
      <c r="F11" s="26"/>
      <c r="G11" s="26"/>
      <c r="H11" s="26"/>
    </row>
    <row r="13" spans="2:8">
      <c r="B13" s="59" t="s">
        <v>2</v>
      </c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</row>
    <row r="14" spans="2:8">
      <c r="B14" s="61"/>
      <c r="C14" s="61"/>
      <c r="D14" s="62"/>
      <c r="E14" s="35">
        <v>150</v>
      </c>
      <c r="F14" s="61"/>
      <c r="G14" s="63"/>
      <c r="H14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15" spans="2:8">
      <c r="B15" s="61"/>
      <c r="C15" s="61"/>
      <c r="D15" s="62"/>
      <c r="E15" s="35">
        <v>151</v>
      </c>
      <c r="F15" s="61"/>
      <c r="G15" s="63"/>
      <c r="H15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16" spans="2:8">
      <c r="B16" s="61"/>
      <c r="C16" s="61"/>
      <c r="D16" s="62"/>
      <c r="E16" s="35">
        <v>152</v>
      </c>
      <c r="F16" s="61"/>
      <c r="G16" s="63"/>
      <c r="H16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17" spans="2:8">
      <c r="B17" s="61"/>
      <c r="C17" s="61"/>
      <c r="D17" s="62"/>
      <c r="E17" s="35">
        <v>153</v>
      </c>
      <c r="F17" s="61"/>
      <c r="G17" s="63"/>
      <c r="H17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18" spans="2:8">
      <c r="B18" s="61"/>
      <c r="C18" s="61"/>
      <c r="D18" s="62"/>
      <c r="E18" s="35">
        <v>154</v>
      </c>
      <c r="F18" s="61"/>
      <c r="G18" s="63"/>
      <c r="H18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19" spans="2:8">
      <c r="B19" s="61"/>
      <c r="C19" s="61"/>
      <c r="D19" s="62"/>
      <c r="E19" s="35">
        <v>155</v>
      </c>
      <c r="F19" s="61"/>
      <c r="G19" s="63"/>
      <c r="H19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0" spans="2:8">
      <c r="B20" s="61"/>
      <c r="C20" s="61"/>
      <c r="D20" s="62"/>
      <c r="E20" s="35">
        <v>156</v>
      </c>
      <c r="F20" s="61"/>
      <c r="G20" s="63"/>
      <c r="H20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1" spans="2:8">
      <c r="B21" s="61"/>
      <c r="C21" s="61"/>
      <c r="D21" s="62"/>
      <c r="E21" s="35">
        <v>157</v>
      </c>
      <c r="F21" s="61"/>
      <c r="G21" s="63"/>
      <c r="H21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2" spans="2:8">
      <c r="B22" s="61"/>
      <c r="C22" s="61"/>
      <c r="D22" s="62"/>
      <c r="E22" s="35">
        <v>158</v>
      </c>
      <c r="F22" s="61"/>
      <c r="G22" s="63"/>
      <c r="H22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3" spans="2:8">
      <c r="B23" s="61"/>
      <c r="C23" s="61"/>
      <c r="D23" s="62"/>
      <c r="E23" s="35">
        <v>159</v>
      </c>
      <c r="F23" s="61"/>
      <c r="G23" s="63"/>
      <c r="H23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4" spans="2:8">
      <c r="B24" s="61"/>
      <c r="C24" s="61"/>
      <c r="D24" s="62"/>
      <c r="E24" s="35">
        <v>160</v>
      </c>
      <c r="F24" s="61"/>
      <c r="G24" s="63"/>
      <c r="H24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5" spans="2:8">
      <c r="B25" s="61"/>
      <c r="C25" s="61"/>
      <c r="D25" s="62"/>
      <c r="E25" s="35">
        <v>161</v>
      </c>
      <c r="F25" s="61"/>
      <c r="G25" s="63"/>
      <c r="H25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6" spans="2:8">
      <c r="B26" s="61"/>
      <c r="C26" s="61"/>
      <c r="D26" s="62"/>
      <c r="E26" s="35">
        <v>162</v>
      </c>
      <c r="F26" s="61"/>
      <c r="G26" s="63"/>
      <c r="H26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7" spans="2:8">
      <c r="B27" s="61"/>
      <c r="C27" s="61"/>
      <c r="D27" s="62"/>
      <c r="E27" s="35">
        <v>163</v>
      </c>
      <c r="F27" s="61"/>
      <c r="G27" s="63"/>
      <c r="H27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8" spans="2:8">
      <c r="B28" s="61"/>
      <c r="C28" s="61"/>
      <c r="D28" s="62"/>
      <c r="E28" s="35">
        <v>164</v>
      </c>
      <c r="F28" s="61"/>
      <c r="G28" s="63"/>
      <c r="H28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29" spans="2:8">
      <c r="B29" s="61"/>
      <c r="C29" s="61"/>
      <c r="D29" s="62"/>
      <c r="E29" s="35">
        <v>165</v>
      </c>
      <c r="F29" s="61"/>
      <c r="G29" s="63"/>
      <c r="H29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0" spans="2:8">
      <c r="B30" s="61"/>
      <c r="C30" s="61"/>
      <c r="D30" s="62"/>
      <c r="E30" s="35">
        <v>166</v>
      </c>
      <c r="F30" s="61"/>
      <c r="G30" s="63"/>
      <c r="H30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1" spans="2:8">
      <c r="B31" s="61"/>
      <c r="C31" s="61"/>
      <c r="D31" s="62"/>
      <c r="E31" s="35">
        <v>167</v>
      </c>
      <c r="F31" s="61"/>
      <c r="G31" s="63"/>
      <c r="H31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2" spans="2:8">
      <c r="B32" s="61"/>
      <c r="C32" s="61"/>
      <c r="D32" s="62"/>
      <c r="E32" s="35">
        <v>168</v>
      </c>
      <c r="F32" s="61"/>
      <c r="G32" s="63"/>
      <c r="H32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3" spans="2:8">
      <c r="B33" s="61"/>
      <c r="C33" s="61"/>
      <c r="D33" s="62"/>
      <c r="E33" s="35">
        <v>169</v>
      </c>
      <c r="F33" s="61"/>
      <c r="G33" s="63"/>
      <c r="H33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4" spans="2:8">
      <c r="B34" s="61"/>
      <c r="C34" s="61"/>
      <c r="D34" s="62"/>
      <c r="E34" s="35">
        <v>170</v>
      </c>
      <c r="F34" s="61"/>
      <c r="G34" s="63"/>
      <c r="H34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5" spans="2:8">
      <c r="B35" s="61"/>
      <c r="C35" s="61"/>
      <c r="D35" s="62"/>
      <c r="E35" s="35">
        <v>171</v>
      </c>
      <c r="F35" s="61"/>
      <c r="G35" s="63"/>
      <c r="H35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6" spans="2:8">
      <c r="B36" s="61"/>
      <c r="C36" s="61"/>
      <c r="D36" s="62"/>
      <c r="E36" s="35">
        <v>172</v>
      </c>
      <c r="F36" s="61"/>
      <c r="G36" s="63"/>
      <c r="H36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7" spans="2:8">
      <c r="B37" s="61"/>
      <c r="C37" s="61"/>
      <c r="D37" s="62"/>
      <c r="E37" s="35">
        <v>173</v>
      </c>
      <c r="F37" s="61"/>
      <c r="G37" s="63"/>
      <c r="H37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8" spans="2:8">
      <c r="B38" s="61"/>
      <c r="C38" s="61"/>
      <c r="D38" s="62"/>
      <c r="E38" s="35">
        <v>174</v>
      </c>
      <c r="F38" s="61"/>
      <c r="G38" s="63"/>
      <c r="H38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39" spans="2:8">
      <c r="B39" s="61"/>
      <c r="C39" s="61"/>
      <c r="D39" s="62"/>
      <c r="E39" s="35">
        <v>175</v>
      </c>
      <c r="F39" s="61"/>
      <c r="G39" s="63"/>
      <c r="H39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0" spans="2:8">
      <c r="B40" s="61"/>
      <c r="C40" s="61"/>
      <c r="D40" s="62"/>
      <c r="E40" s="35">
        <v>176</v>
      </c>
      <c r="F40" s="61"/>
      <c r="G40" s="63"/>
      <c r="H40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1" spans="2:8">
      <c r="B41" s="61"/>
      <c r="C41" s="61"/>
      <c r="D41" s="62"/>
      <c r="E41" s="35">
        <v>177</v>
      </c>
      <c r="F41" s="61"/>
      <c r="G41" s="63"/>
      <c r="H41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2" spans="2:8">
      <c r="B42" s="61"/>
      <c r="C42" s="61"/>
      <c r="D42" s="62"/>
      <c r="E42" s="35">
        <v>178</v>
      </c>
      <c r="F42" s="61"/>
      <c r="G42" s="63"/>
      <c r="H42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3" spans="2:8">
      <c r="B43" s="61"/>
      <c r="C43" s="61"/>
      <c r="D43" s="62"/>
      <c r="E43" s="35">
        <v>179</v>
      </c>
      <c r="F43" s="61"/>
      <c r="G43" s="63"/>
      <c r="H43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4" spans="2:8">
      <c r="B44" s="61"/>
      <c r="C44" s="61"/>
      <c r="D44" s="62"/>
      <c r="E44" s="35">
        <v>180</v>
      </c>
      <c r="F44" s="61"/>
      <c r="G44" s="63"/>
      <c r="H44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5" spans="2:8">
      <c r="B45" s="61"/>
      <c r="C45" s="61"/>
      <c r="D45" s="62"/>
      <c r="E45" s="35">
        <v>181</v>
      </c>
      <c r="F45" s="61"/>
      <c r="G45" s="63"/>
      <c r="H45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6" spans="2:8">
      <c r="B46" s="61"/>
      <c r="C46" s="61"/>
      <c r="D46" s="62"/>
      <c r="E46" s="35">
        <v>182</v>
      </c>
      <c r="F46" s="61"/>
      <c r="G46" s="63"/>
      <c r="H46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7" spans="2:8">
      <c r="B47" s="61"/>
      <c r="C47" s="61"/>
      <c r="D47" s="62"/>
      <c r="E47" s="35">
        <v>183</v>
      </c>
      <c r="F47" s="61"/>
      <c r="G47" s="63"/>
      <c r="H47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8" spans="2:8">
      <c r="B48" s="61"/>
      <c r="C48" s="61"/>
      <c r="D48" s="62"/>
      <c r="E48" s="35">
        <v>184</v>
      </c>
      <c r="F48" s="61"/>
      <c r="G48" s="63"/>
      <c r="H48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49" spans="2:8">
      <c r="B49" s="61"/>
      <c r="C49" s="61"/>
      <c r="D49" s="62"/>
      <c r="E49" s="35">
        <v>185</v>
      </c>
      <c r="F49" s="61"/>
      <c r="G49" s="63"/>
      <c r="H49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0" spans="2:8">
      <c r="B50" s="61"/>
      <c r="C50" s="61"/>
      <c r="D50" s="62"/>
      <c r="E50" s="35">
        <v>186</v>
      </c>
      <c r="F50" s="61"/>
      <c r="G50" s="63"/>
      <c r="H50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1" spans="2:8">
      <c r="B51" s="61"/>
      <c r="C51" s="61"/>
      <c r="D51" s="62"/>
      <c r="E51" s="35">
        <v>187</v>
      </c>
      <c r="F51" s="61"/>
      <c r="G51" s="63"/>
      <c r="H51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2" spans="2:8">
      <c r="B52" s="61"/>
      <c r="C52" s="61"/>
      <c r="D52" s="62"/>
      <c r="E52" s="35">
        <v>188</v>
      </c>
      <c r="F52" s="61"/>
      <c r="G52" s="63"/>
      <c r="H52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3" spans="2:8">
      <c r="B53" s="61"/>
      <c r="C53" s="61"/>
      <c r="D53" s="62"/>
      <c r="E53" s="35">
        <v>189</v>
      </c>
      <c r="F53" s="61"/>
      <c r="G53" s="63"/>
      <c r="H53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4" spans="2:8">
      <c r="B54" s="61"/>
      <c r="C54" s="61"/>
      <c r="D54" s="62"/>
      <c r="E54" s="35">
        <v>190</v>
      </c>
      <c r="F54" s="61"/>
      <c r="G54" s="63"/>
      <c r="H54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5" spans="2:8">
      <c r="B55" s="61"/>
      <c r="C55" s="61"/>
      <c r="D55" s="62"/>
      <c r="E55" s="35">
        <v>191</v>
      </c>
      <c r="F55" s="61"/>
      <c r="G55" s="63"/>
      <c r="H55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6" spans="2:8">
      <c r="B56" s="61"/>
      <c r="C56" s="61"/>
      <c r="D56" s="62"/>
      <c r="E56" s="35">
        <v>192</v>
      </c>
      <c r="F56" s="61"/>
      <c r="G56" s="63"/>
      <c r="H56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7" spans="2:8">
      <c r="B57" s="61"/>
      <c r="C57" s="61"/>
      <c r="D57" s="62"/>
      <c r="E57" s="35">
        <v>193</v>
      </c>
      <c r="F57" s="61"/>
      <c r="G57" s="63"/>
      <c r="H57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8" spans="2:8">
      <c r="B58" s="61"/>
      <c r="C58" s="61"/>
      <c r="D58" s="62"/>
      <c r="E58" s="35">
        <v>194</v>
      </c>
      <c r="F58" s="61"/>
      <c r="G58" s="63"/>
      <c r="H58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59" spans="2:8">
      <c r="B59" s="61"/>
      <c r="C59" s="61"/>
      <c r="D59" s="62"/>
      <c r="E59" s="35">
        <v>195</v>
      </c>
      <c r="F59" s="61"/>
      <c r="G59" s="63"/>
      <c r="H59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60" spans="2:8">
      <c r="B60" s="61"/>
      <c r="C60" s="61"/>
      <c r="D60" s="62"/>
      <c r="E60" s="35">
        <v>196</v>
      </c>
      <c r="F60" s="61"/>
      <c r="G60" s="63"/>
      <c r="H60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61" spans="2:8">
      <c r="B61" s="61"/>
      <c r="C61" s="61"/>
      <c r="D61" s="62"/>
      <c r="E61" s="35">
        <v>197</v>
      </c>
      <c r="F61" s="61"/>
      <c r="G61" s="63"/>
      <c r="H61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62" spans="2:8">
      <c r="B62" s="61"/>
      <c r="C62" s="61"/>
      <c r="D62" s="62"/>
      <c r="E62" s="35">
        <v>198</v>
      </c>
      <c r="F62" s="61"/>
      <c r="G62" s="63"/>
      <c r="H62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  <row r="63" spans="2:8">
      <c r="B63" s="61"/>
      <c r="C63" s="61"/>
      <c r="D63" s="62"/>
      <c r="E63" s="35">
        <v>199</v>
      </c>
      <c r="F63" s="61"/>
      <c r="G63" s="63"/>
      <c r="H63" s="35" t="str">
        <f>IF(ISBLANK(Tabell4[[#This Row],[Vad]]),"",IF(ISBLANK(Tabell4[[#This Row],[Datum]]),"Fyll i datum",IF(ISBLANK(Tabell4[[#This Row],[Konto]]),"Fyll i konto",IF(ISBLANK(Tabell4[[#This Row],[Belopp]]),"Fyll i belopp",IF(OR(Tabell4[[#This Row],[Konto]]="Bank till Kassa",Tabell4[[#This Row],[Konto]]="Kassa till Bank"),IF(Tabell4[[#This Row],[Vad]]="Insättning/Uttag","Rätt","Fel"),IF(Tabell4[[#This Row],[Vad]]="Insättning/Uttag",IF(OR(Tabell4[[#This Row],[Konto]]="Kassa till Bank",Tabell4[[#This Row],[Konto]]="Bank till Kassa"),"Rätt","Fel"),"Rätt"))))))</f>
        <v/>
      </c>
    </row>
  </sheetData>
  <sheetProtection algorithmName="SHA-512" hashValue="royah92TPwUZ8gQ1MJS7dbLSbh+8yHRS1QkQzjSkWxJ3jpsKg9CjJ3C46cDJjdR2r45p+4CCwAaVp4nPCgOaGQ==" saltValue="zNdqsCoQn+2YgNhBwjRylw==" spinCount="100000" sheet="1" objects="1" scenarios="1" selectLockedCells="1"/>
  <mergeCells count="6">
    <mergeCell ref="F10:G10"/>
    <mergeCell ref="B2:C5"/>
    <mergeCell ref="D2:H5"/>
    <mergeCell ref="D8:E8"/>
    <mergeCell ref="F8:G8"/>
    <mergeCell ref="F9:G9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00A438-2340-FA48-8609-B22556391326}">
          <x14:formula1>
            <xm:f>'Siffror (Rör ej)'!$D$4:$D$16</xm:f>
          </x14:formula1>
          <xm:sqref>B14:B63</xm:sqref>
        </x14:dataValidation>
        <x14:dataValidation type="list" allowBlank="1" showInputMessage="1" showErrorMessage="1" xr:uid="{8010E94B-30E7-0E4D-A976-7D8B61F486F7}">
          <x14:formula1>
            <xm:f>'Siffror (Rör ej)'!$B$21:$B$26</xm:f>
          </x14:formula1>
          <xm:sqref>F14:F63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B620-7B02-4EE5-9AD0-CC63E51EDC71}">
  <dimension ref="A2:O43"/>
  <sheetViews>
    <sheetView view="pageBreakPreview" zoomScale="120" zoomScaleNormal="136" zoomScaleSheetLayoutView="120" workbookViewId="0">
      <selection activeCell="H24" sqref="H24"/>
    </sheetView>
  </sheetViews>
  <sheetFormatPr defaultColWidth="8.5703125" defaultRowHeight="14.1"/>
  <cols>
    <col min="1" max="1" width="6.140625" style="24" customWidth="1"/>
    <col min="2" max="2" width="15" style="24" bestFit="1" customWidth="1"/>
    <col min="3" max="3" width="8.5703125" style="24"/>
    <col min="4" max="4" width="17.5703125" style="24" customWidth="1"/>
    <col min="5" max="5" width="3.42578125" style="24" customWidth="1"/>
    <col min="6" max="6" width="8.5703125" style="24"/>
    <col min="7" max="7" width="8.5703125" style="24" customWidth="1"/>
    <col min="8" max="8" width="16.42578125" style="24" customWidth="1"/>
    <col min="9" max="9" width="8.42578125" style="24" customWidth="1"/>
    <col min="10" max="16384" width="8.5703125" style="24"/>
  </cols>
  <sheetData>
    <row r="2" spans="2:9" ht="14.45" customHeight="1">
      <c r="B2" s="126" t="s">
        <v>120</v>
      </c>
      <c r="C2" s="126"/>
      <c r="D2" s="126"/>
      <c r="E2" s="126"/>
      <c r="F2" s="126"/>
      <c r="G2" s="126"/>
      <c r="H2" s="126"/>
      <c r="I2" s="64"/>
    </row>
    <row r="3" spans="2:9">
      <c r="B3" s="126"/>
      <c r="C3" s="126"/>
      <c r="D3" s="126"/>
      <c r="E3" s="126"/>
      <c r="F3" s="126"/>
      <c r="G3" s="126"/>
      <c r="H3" s="126"/>
      <c r="I3" s="64"/>
    </row>
    <row r="4" spans="2:9">
      <c r="B4" s="126"/>
      <c r="C4" s="126"/>
      <c r="D4" s="126"/>
      <c r="E4" s="126"/>
      <c r="F4" s="126"/>
      <c r="G4" s="126"/>
      <c r="H4" s="126"/>
      <c r="I4" s="64"/>
    </row>
    <row r="5" spans="2:9">
      <c r="B5" s="65">
        <f ca="1">NOW()</f>
        <v>44809.62688275463</v>
      </c>
    </row>
    <row r="6" spans="2:9" ht="20.100000000000001">
      <c r="C6" s="127" t="s">
        <v>121</v>
      </c>
      <c r="D6" s="127"/>
      <c r="E6" s="127"/>
      <c r="F6" s="127"/>
      <c r="G6" s="127"/>
    </row>
    <row r="8" spans="2:9">
      <c r="C8" s="66" t="s">
        <v>71</v>
      </c>
      <c r="G8" s="66" t="s">
        <v>73</v>
      </c>
    </row>
    <row r="9" spans="2:9" ht="14.45">
      <c r="C9" s="67" t="s">
        <v>10</v>
      </c>
      <c r="D9" s="68">
        <f>Statistik!Q4</f>
        <v>0</v>
      </c>
      <c r="G9" s="67" t="s">
        <v>10</v>
      </c>
      <c r="H9" s="68">
        <f>Statistik!R4</f>
        <v>0</v>
      </c>
    </row>
    <row r="10" spans="2:9" ht="14.45">
      <c r="C10" s="67" t="s">
        <v>26</v>
      </c>
      <c r="D10" s="69">
        <f>Statistik!Q5</f>
        <v>0</v>
      </c>
      <c r="G10" s="67" t="s">
        <v>26</v>
      </c>
      <c r="H10" s="69">
        <f>Statistik!R5</f>
        <v>0</v>
      </c>
    </row>
    <row r="11" spans="2:9" ht="14.45">
      <c r="C11" s="67" t="s">
        <v>28</v>
      </c>
      <c r="D11" s="68">
        <f>Statistik!Q6</f>
        <v>0</v>
      </c>
      <c r="G11" s="67" t="s">
        <v>28</v>
      </c>
      <c r="H11" s="68">
        <f>Statistik!R6</f>
        <v>0</v>
      </c>
    </row>
    <row r="12" spans="2:9" ht="14.45">
      <c r="C12" s="67" t="s">
        <v>30</v>
      </c>
      <c r="D12" s="69">
        <f>Statistik!Q7</f>
        <v>0</v>
      </c>
      <c r="G12" s="67" t="s">
        <v>30</v>
      </c>
      <c r="H12" s="69">
        <f>Statistik!R7</f>
        <v>0</v>
      </c>
    </row>
    <row r="13" spans="2:9" ht="14.45">
      <c r="C13" s="67" t="s">
        <v>32</v>
      </c>
      <c r="D13" s="68">
        <f>Statistik!Q8</f>
        <v>0</v>
      </c>
      <c r="G13" s="67" t="s">
        <v>32</v>
      </c>
      <c r="H13" s="68">
        <f>Statistik!R8</f>
        <v>0</v>
      </c>
    </row>
    <row r="14" spans="2:9" ht="14.45">
      <c r="C14" s="67" t="s">
        <v>36</v>
      </c>
      <c r="D14" s="69">
        <f>Statistik!Q14</f>
        <v>0</v>
      </c>
      <c r="G14" s="67" t="s">
        <v>36</v>
      </c>
      <c r="H14" s="69">
        <f>Statistik!R14</f>
        <v>0</v>
      </c>
    </row>
    <row r="15" spans="2:9" ht="14.45">
      <c r="C15" s="67" t="s">
        <v>38</v>
      </c>
      <c r="D15" s="68">
        <f>Statistik!Q15</f>
        <v>0</v>
      </c>
      <c r="G15" s="67" t="s">
        <v>38</v>
      </c>
      <c r="H15" s="68">
        <f>Statistik!R15</f>
        <v>0</v>
      </c>
    </row>
    <row r="16" spans="2:9">
      <c r="C16" s="70" t="s">
        <v>122</v>
      </c>
      <c r="D16" s="69">
        <f>Statistik!Q9</f>
        <v>0</v>
      </c>
      <c r="G16" s="71" t="s">
        <v>122</v>
      </c>
      <c r="H16" s="69">
        <f>Statistik!R9</f>
        <v>0</v>
      </c>
    </row>
    <row r="17" spans="2:15">
      <c r="C17" s="72" t="s">
        <v>42</v>
      </c>
      <c r="D17" s="68">
        <f>Statistik!Q10</f>
        <v>0</v>
      </c>
      <c r="G17" s="72" t="s">
        <v>42</v>
      </c>
      <c r="H17" s="68">
        <f>Statistik!R10</f>
        <v>0</v>
      </c>
    </row>
    <row r="18" spans="2:15">
      <c r="C18" s="70" t="s">
        <v>123</v>
      </c>
      <c r="D18" s="69">
        <f>Statistik!Q11</f>
        <v>0</v>
      </c>
      <c r="G18" s="71" t="s">
        <v>123</v>
      </c>
      <c r="H18" s="69">
        <f>Statistik!R11</f>
        <v>0</v>
      </c>
    </row>
    <row r="19" spans="2:15" ht="14.45">
      <c r="C19" s="67" t="s">
        <v>46</v>
      </c>
      <c r="D19" s="68">
        <f>Statistik!Q12</f>
        <v>0</v>
      </c>
      <c r="G19" s="67" t="s">
        <v>46</v>
      </c>
      <c r="H19" s="68">
        <f>Statistik!R12</f>
        <v>0</v>
      </c>
    </row>
    <row r="20" spans="2:15" ht="14.45">
      <c r="C20" s="67" t="s">
        <v>48</v>
      </c>
      <c r="D20" s="69">
        <f>Statistik!Q13</f>
        <v>0</v>
      </c>
      <c r="G20" s="67" t="s">
        <v>48</v>
      </c>
      <c r="H20" s="69">
        <f>Statistik!R13</f>
        <v>0</v>
      </c>
    </row>
    <row r="22" spans="2:15">
      <c r="B22" s="115" t="s">
        <v>124</v>
      </c>
      <c r="C22" s="115"/>
      <c r="D22" s="68">
        <f>SUM(D9:D20)</f>
        <v>0</v>
      </c>
      <c r="F22" s="115" t="s">
        <v>111</v>
      </c>
      <c r="G22" s="115"/>
      <c r="H22" s="68">
        <f>SUM(H9:H20)</f>
        <v>0</v>
      </c>
    </row>
    <row r="23" spans="2:15">
      <c r="F23" s="66"/>
    </row>
    <row r="24" spans="2:15" ht="18">
      <c r="F24" s="131" t="s">
        <v>125</v>
      </c>
      <c r="G24" s="131"/>
      <c r="H24" s="68">
        <f>D22-H22</f>
        <v>0</v>
      </c>
    </row>
    <row r="26" spans="2:15" ht="20.100000000000001">
      <c r="C26" s="132" t="s">
        <v>126</v>
      </c>
      <c r="D26" s="132"/>
      <c r="E26" s="132"/>
      <c r="F26" s="132"/>
      <c r="G26" s="132"/>
    </row>
    <row r="28" spans="2:15" ht="18">
      <c r="C28" s="129" t="s">
        <v>68</v>
      </c>
      <c r="D28" s="129"/>
      <c r="E28" s="130">
        <f>'Siffror (Rör ej)'!J17+'Siffror (Rör ej)'!K17</f>
        <v>0</v>
      </c>
      <c r="F28" s="130"/>
      <c r="G28" s="130"/>
    </row>
    <row r="29" spans="2:15" ht="18">
      <c r="C29" s="129" t="s">
        <v>127</v>
      </c>
      <c r="D29" s="129"/>
      <c r="E29" s="130">
        <f>SUMIFS(Översikt!Q21,Översikt!Q17,"Ja")</f>
        <v>0</v>
      </c>
      <c r="F29" s="130"/>
      <c r="G29" s="130"/>
    </row>
    <row r="30" spans="2:15" ht="18">
      <c r="C30" s="129" t="s">
        <v>128</v>
      </c>
      <c r="D30" s="129"/>
      <c r="E30" s="130">
        <f>SUMIFS(Översikt!Q29,Översikt!Q25,"Ja")</f>
        <v>0</v>
      </c>
      <c r="F30" s="130"/>
      <c r="G30" s="130"/>
    </row>
    <row r="32" spans="2:15">
      <c r="B32" s="87" t="str">
        <f>IF(Översikt!P32="Ej klar","Kolla på fliken Översikt för att lägga till de sista siffrorna och valen innan ni är klara!","")</f>
        <v/>
      </c>
      <c r="C32" s="87"/>
      <c r="D32" s="87"/>
      <c r="E32" s="87"/>
      <c r="F32" s="87"/>
      <c r="G32" s="87"/>
      <c r="H32" s="87"/>
      <c r="J32" s="128" t="str">
        <f>IF(ISBLANK(Översikt!D7),"Vänligen fyll i samtliga rutor på fliken Översikt",IF(ISBLANK(Översikt!D9),"Vänligen fyll i samtliga rutor på fliken Översikt",IF(ISBLANK(Översikt!D11),"Vänligen fyll i samtliga rutor på fliken Översikt",IF(ISBLANK(Översikt!J7),"Vänligen fyll i samtliga rutor på fliken Översikt",""))))</f>
        <v>Vänligen fyll i samtliga rutor på fliken Översikt</v>
      </c>
      <c r="K32" s="128"/>
      <c r="L32" s="128"/>
      <c r="M32" s="128"/>
      <c r="N32" s="128"/>
      <c r="O32" s="128"/>
    </row>
    <row r="36" spans="1:9" ht="14.45" thickBot="1">
      <c r="C36" s="73"/>
      <c r="D36" s="73"/>
    </row>
    <row r="37" spans="1:9">
      <c r="C37" s="74" t="s">
        <v>129</v>
      </c>
      <c r="D37" s="74"/>
    </row>
    <row r="38" spans="1:9">
      <c r="C38" s="75"/>
      <c r="D38" s="75"/>
    </row>
    <row r="39" spans="1:9" ht="14.45">
      <c r="C39" s="123" t="str">
        <f>IF(ISBLANK(Översikt!D9),"Förnamn Efternamn",Översikt!D9)</f>
        <v>Förnamn Efternamn</v>
      </c>
      <c r="D39" s="123"/>
      <c r="G39" s="124"/>
      <c r="H39" s="124"/>
    </row>
    <row r="40" spans="1:9">
      <c r="C40" s="24" t="s">
        <v>130</v>
      </c>
      <c r="G40" s="124"/>
      <c r="H40" s="124"/>
    </row>
    <row r="42" spans="1:9">
      <c r="A42" s="125" t="str">
        <f>IF(ISBLANK(Översikt!D7),IF(ISBLANK(Översikt!D11),"Bokslut","Bokslut för redovisningsåret "&amp;Översikt!D11),IF(ISBLANK(Översikt!D11),"Bokslut för "&amp;Översikt!D7&amp;".","Bokslut för "&amp;Översikt!D7&amp;" - Verksamhetsåret "&amp;Översikt!D11))</f>
        <v>Bokslut</v>
      </c>
      <c r="B42" s="125"/>
      <c r="C42" s="125"/>
      <c r="D42" s="125"/>
      <c r="E42" s="125"/>
      <c r="F42" s="125"/>
      <c r="G42" s="125"/>
      <c r="H42" s="125"/>
      <c r="I42" s="125"/>
    </row>
    <row r="43" spans="1:9" ht="14.45">
      <c r="A43" s="122" t="str">
        <f>IF(ISBLANK(Översikt!J7),"","Org.nr "&amp;Översikt!J7)</f>
        <v/>
      </c>
      <c r="B43" s="122"/>
      <c r="C43" s="122"/>
      <c r="D43" s="122"/>
      <c r="E43" s="122"/>
      <c r="F43" s="122"/>
      <c r="G43" s="122"/>
      <c r="H43" s="122"/>
      <c r="I43" s="122"/>
    </row>
  </sheetData>
  <sheetProtection algorithmName="SHA-512" hashValue="hJ9IQ8X9x5q+lqoFWGEsUQy3IfGOQXHdoMLJspdoD704+tuWmTxA1igHbQcczw5BNf9DixtCbj4oNk9YwI9M1A==" saltValue="sGGgOe6qTF6PjDruUIe7Hg==" spinCount="100000" sheet="1" objects="1" scenarios="1"/>
  <mergeCells count="18">
    <mergeCell ref="J32:O32"/>
    <mergeCell ref="B22:C22"/>
    <mergeCell ref="C28:D28"/>
    <mergeCell ref="C29:D29"/>
    <mergeCell ref="C30:D30"/>
    <mergeCell ref="E28:G28"/>
    <mergeCell ref="E29:G29"/>
    <mergeCell ref="E30:G30"/>
    <mergeCell ref="F24:G24"/>
    <mergeCell ref="B32:H32"/>
    <mergeCell ref="C26:G26"/>
    <mergeCell ref="A43:I43"/>
    <mergeCell ref="C39:D39"/>
    <mergeCell ref="G39:H40"/>
    <mergeCell ref="A42:I42"/>
    <mergeCell ref="B2:H4"/>
    <mergeCell ref="F22:G22"/>
    <mergeCell ref="C6:G6"/>
  </mergeCells>
  <conditionalFormatting sqref="B32">
    <cfRule type="containsText" dxfId="1" priority="2" operator="containsText" text="Kolla">
      <formula>NOT(ISERROR(SEARCH("Kolla",B32)))</formula>
    </cfRule>
  </conditionalFormatting>
  <conditionalFormatting sqref="J32">
    <cfRule type="beginsWith" dxfId="0" priority="1" operator="beginsWith" text="Vänligen">
      <formula>LEFT(J32,LEN("Vänligen"))="Vänligen"</formula>
    </cfRule>
  </conditionalFormatting>
  <pageMargins left="0.25" right="0.25" top="0.75" bottom="0.75" header="0.3" footer="0.3"/>
  <pageSetup paperSize="9" scale="88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3:S45"/>
  <sheetViews>
    <sheetView topLeftCell="B1" zoomScale="110" zoomScaleNormal="110" workbookViewId="0">
      <selection activeCell="U19" sqref="U19"/>
    </sheetView>
  </sheetViews>
  <sheetFormatPr defaultColWidth="8.5703125" defaultRowHeight="14.1"/>
  <cols>
    <col min="1" max="13" width="8.5703125" style="24"/>
    <col min="14" max="14" width="6.5703125" style="24" customWidth="1"/>
    <col min="15" max="15" width="16.28515625" style="24" customWidth="1"/>
    <col min="16" max="16" width="10.85546875" style="24" customWidth="1"/>
    <col min="17" max="18" width="12.5703125" style="24" customWidth="1"/>
    <col min="19" max="20" width="8.5703125" style="24"/>
    <col min="21" max="21" width="14.42578125" style="24" customWidth="1"/>
    <col min="22" max="22" width="10.140625" style="24" customWidth="1"/>
    <col min="23" max="23" width="10" style="24" customWidth="1"/>
    <col min="24" max="24" width="10.85546875" style="24" bestFit="1" customWidth="1"/>
    <col min="25" max="16384" width="8.5703125" style="24"/>
  </cols>
  <sheetData>
    <row r="3" spans="16:18">
      <c r="Q3" s="66" t="s">
        <v>71</v>
      </c>
      <c r="R3" s="66" t="s">
        <v>131</v>
      </c>
    </row>
    <row r="4" spans="16:18" ht="14.45">
      <c r="P4" s="67" t="s">
        <v>10</v>
      </c>
      <c r="Q4" s="76">
        <f>EventTotalaIntäkter</f>
        <v>0</v>
      </c>
      <c r="R4" s="76">
        <f>EventTotalaKostnader</f>
        <v>0</v>
      </c>
    </row>
    <row r="5" spans="16:18" ht="14.45">
      <c r="P5" s="67" t="s">
        <v>26</v>
      </c>
      <c r="Q5" s="76">
        <f>LobbyingTotalaIntäkter</f>
        <v>0</v>
      </c>
      <c r="R5" s="76">
        <f>LobbyingTotalaKostnader</f>
        <v>0</v>
      </c>
    </row>
    <row r="6" spans="16:18" ht="14.45">
      <c r="P6" s="67" t="s">
        <v>28</v>
      </c>
      <c r="Q6" s="76">
        <f>BildningTotalaIntäkter</f>
        <v>0</v>
      </c>
      <c r="R6" s="76">
        <f>BildningTotalaKostnader</f>
        <v>0</v>
      </c>
    </row>
    <row r="7" spans="16:18" ht="14.45">
      <c r="P7" s="67" t="s">
        <v>30</v>
      </c>
      <c r="Q7" s="76">
        <f>ServiceTotalaIntäkter</f>
        <v>0</v>
      </c>
      <c r="R7" s="76">
        <f>ServiceTotalaKostnader</f>
        <v>0</v>
      </c>
    </row>
    <row r="8" spans="16:18" ht="14.45">
      <c r="P8" s="67" t="s">
        <v>32</v>
      </c>
      <c r="Q8" s="76">
        <f>FöreningarTotalaIntäkter</f>
        <v>0</v>
      </c>
      <c r="R8" s="76">
        <f>FöreningarTotalaKostnader</f>
        <v>0</v>
      </c>
    </row>
    <row r="9" spans="16:18" ht="14.45">
      <c r="P9" s="67" t="s">
        <v>40</v>
      </c>
      <c r="Q9" s="76">
        <f>BidragSverigesElevkårerTotalaIntäkter</f>
        <v>0</v>
      </c>
      <c r="R9" s="76">
        <v>0</v>
      </c>
    </row>
    <row r="10" spans="16:18" ht="14.45">
      <c r="P10" s="67" t="s">
        <v>42</v>
      </c>
      <c r="Q10" s="76">
        <f>BidragSkolanTotalaIntäkter</f>
        <v>0</v>
      </c>
      <c r="R10" s="76">
        <f>BidragSkolanTotalaKostnader</f>
        <v>0</v>
      </c>
    </row>
    <row r="11" spans="16:18" ht="14.45">
      <c r="P11" s="67" t="s">
        <v>123</v>
      </c>
      <c r="Q11" s="76">
        <f>ÖvrigaBidragTotalaIntäkter</f>
        <v>0</v>
      </c>
      <c r="R11" s="76">
        <f>ÖvrigaBidragTotalaKostnader</f>
        <v>0</v>
      </c>
    </row>
    <row r="12" spans="16:18" ht="14.45">
      <c r="P12" s="67" t="s">
        <v>46</v>
      </c>
      <c r="Q12" s="76">
        <f>MedlemsavgiftTotalaIntäkter</f>
        <v>0</v>
      </c>
      <c r="R12" s="76">
        <f>MedlemsavgiftTotalaKostnader</f>
        <v>0</v>
      </c>
    </row>
    <row r="13" spans="16:18" ht="14.45">
      <c r="P13" s="67" t="s">
        <v>48</v>
      </c>
      <c r="Q13" s="76">
        <f>ÖvrigtTotalaIntäkter</f>
        <v>0</v>
      </c>
      <c r="R13" s="76">
        <f>ÖvrigtTotalaKostnader</f>
        <v>0</v>
      </c>
    </row>
    <row r="14" spans="16:18" ht="14.45">
      <c r="P14" s="67" t="s">
        <v>36</v>
      </c>
      <c r="Q14" s="76">
        <f>ResorTotalaIntäkter</f>
        <v>0</v>
      </c>
      <c r="R14" s="76">
        <f>ResorTotalaKostnader</f>
        <v>0</v>
      </c>
    </row>
    <row r="15" spans="16:18" ht="14.45">
      <c r="P15" s="67" t="s">
        <v>38</v>
      </c>
      <c r="Q15" s="76">
        <f>KårrumTotalaIntäkter</f>
        <v>0</v>
      </c>
      <c r="R15" s="76">
        <f>KårrumTotalaKostnader</f>
        <v>0</v>
      </c>
    </row>
    <row r="18" spans="6:19" ht="15.6">
      <c r="O18" s="53" t="s">
        <v>132</v>
      </c>
      <c r="P18" s="66" t="s">
        <v>93</v>
      </c>
      <c r="Q18" s="66" t="s">
        <v>94</v>
      </c>
      <c r="R18" s="66" t="s">
        <v>95</v>
      </c>
      <c r="S18" s="66" t="s">
        <v>96</v>
      </c>
    </row>
    <row r="19" spans="6:19">
      <c r="O19" s="77" t="s">
        <v>10</v>
      </c>
      <c r="P19" s="26">
        <f>EventIntäkter1</f>
        <v>0</v>
      </c>
      <c r="Q19" s="26">
        <f>EventIntäkter2</f>
        <v>0</v>
      </c>
      <c r="R19" s="26">
        <f>EventIntäkter3</f>
        <v>0</v>
      </c>
      <c r="S19" s="26">
        <f>EventIntäkter4</f>
        <v>0</v>
      </c>
    </row>
    <row r="20" spans="6:19" ht="14.45" customHeight="1">
      <c r="F20" s="78"/>
      <c r="G20" s="78"/>
      <c r="H20" s="78"/>
      <c r="I20" s="78"/>
      <c r="J20" s="78"/>
      <c r="K20" s="78"/>
      <c r="L20" s="78"/>
      <c r="O20" s="77" t="s">
        <v>26</v>
      </c>
      <c r="P20" s="26">
        <f>LobbyingIntäkter1</f>
        <v>0</v>
      </c>
      <c r="Q20" s="26">
        <f>LobbyingIntäkter2</f>
        <v>0</v>
      </c>
      <c r="R20" s="26">
        <f>LobbyingIntäkter3</f>
        <v>0</v>
      </c>
      <c r="S20" s="26">
        <f>LobbyingIntäkter4</f>
        <v>0</v>
      </c>
    </row>
    <row r="21" spans="6:19" ht="14.45" customHeight="1">
      <c r="F21" s="78"/>
      <c r="G21" s="78"/>
      <c r="H21" s="78"/>
      <c r="I21" s="78"/>
      <c r="J21" s="78"/>
      <c r="K21" s="78"/>
      <c r="L21" s="78"/>
      <c r="O21" s="77" t="s">
        <v>28</v>
      </c>
      <c r="P21" s="26">
        <f>BildningIntäkter1</f>
        <v>0</v>
      </c>
      <c r="Q21" s="26">
        <f>BildningIntäkter2</f>
        <v>0</v>
      </c>
      <c r="R21" s="26">
        <f>BildningIntäkter2</f>
        <v>0</v>
      </c>
      <c r="S21" s="26">
        <f>BildningIntäkter4</f>
        <v>0</v>
      </c>
    </row>
    <row r="22" spans="6:19" ht="14.45" customHeight="1">
      <c r="F22" s="78"/>
      <c r="G22" s="78"/>
      <c r="H22" s="78"/>
      <c r="I22" s="78"/>
      <c r="J22" s="78"/>
      <c r="K22" s="78"/>
      <c r="L22" s="78"/>
      <c r="O22" s="77" t="s">
        <v>30</v>
      </c>
      <c r="P22" s="26">
        <f>ServiceIntäkter1</f>
        <v>0</v>
      </c>
      <c r="Q22" s="26">
        <f>ServiceIntäkter2</f>
        <v>0</v>
      </c>
      <c r="R22" s="26">
        <f>ServiceIntäkter3</f>
        <v>0</v>
      </c>
      <c r="S22" s="26">
        <f>ServiceIntäkter4</f>
        <v>0</v>
      </c>
    </row>
    <row r="23" spans="6:19">
      <c r="O23" s="77" t="s">
        <v>75</v>
      </c>
      <c r="P23" s="26">
        <f>FöreningarIntäkter1</f>
        <v>0</v>
      </c>
      <c r="Q23" s="26">
        <f>FöreningarIntäkter2</f>
        <v>0</v>
      </c>
      <c r="R23" s="26">
        <f>FöreningarIntäkter3</f>
        <v>0</v>
      </c>
      <c r="S23" s="26">
        <f>FöreningarIntäkter4</f>
        <v>0</v>
      </c>
    </row>
    <row r="24" spans="6:19">
      <c r="O24" s="77" t="s">
        <v>133</v>
      </c>
      <c r="P24" s="26">
        <f>BidragFrånSverigesElevkårerIntäkter1</f>
        <v>0</v>
      </c>
      <c r="Q24" s="26">
        <f>BidragFrånSverigesElevkårerIntäkter2</f>
        <v>0</v>
      </c>
      <c r="R24" s="26">
        <f>BidragFrånSverigesElevkårerIntäkter3</f>
        <v>0</v>
      </c>
      <c r="S24" s="26">
        <f>BidragFrånSverigesElevkårerIntäkter4</f>
        <v>0</v>
      </c>
    </row>
    <row r="25" spans="6:19">
      <c r="O25" s="77" t="s">
        <v>134</v>
      </c>
      <c r="P25" s="26">
        <f>BidragFrånSkolanIntäkter1</f>
        <v>0</v>
      </c>
      <c r="Q25" s="26">
        <f>BidragFrånSkolanIntäkter2</f>
        <v>0</v>
      </c>
      <c r="R25" s="26">
        <f>BidragFrånSkolanIntäkter3</f>
        <v>0</v>
      </c>
      <c r="S25" s="26">
        <f>BidragFrånSkolanIntäkter4</f>
        <v>0</v>
      </c>
    </row>
    <row r="26" spans="6:19" ht="14.45">
      <c r="O26" s="67" t="s">
        <v>135</v>
      </c>
      <c r="P26" s="26">
        <f>ÖvrigaBidragOchSponsringIntäkter1</f>
        <v>0</v>
      </c>
      <c r="Q26" s="26">
        <f>ÖvrigaBidragOchSponsringIntäkter2</f>
        <v>0</v>
      </c>
      <c r="R26" s="26">
        <f>ÖvrigaBidragOchSponsringIntäkter3</f>
        <v>0</v>
      </c>
      <c r="S26" s="26">
        <f>ÖvrigaBidragOchSponsringIntäkter4</f>
        <v>0</v>
      </c>
    </row>
    <row r="27" spans="6:19" ht="14.45">
      <c r="O27" s="67" t="s">
        <v>46</v>
      </c>
      <c r="P27" s="26">
        <f>MedlemsavgifterIntäkter1</f>
        <v>0</v>
      </c>
      <c r="Q27" s="26">
        <f>MedlemsavgiftIntäkter2</f>
        <v>0</v>
      </c>
      <c r="R27" s="26">
        <f>MedlemsavgiftIntäkter3</f>
        <v>0</v>
      </c>
      <c r="S27" s="26">
        <f>MedlemsavgiftIntäkter4</f>
        <v>0</v>
      </c>
    </row>
    <row r="28" spans="6:19" ht="14.45">
      <c r="O28" s="67" t="s">
        <v>48</v>
      </c>
      <c r="P28" s="26">
        <f>ÖvrigtIntäkter1</f>
        <v>0</v>
      </c>
      <c r="Q28" s="26">
        <f>ÖvrigtIntäkter2</f>
        <v>0</v>
      </c>
      <c r="R28" s="26">
        <f>ÖvrigtIntäkter3</f>
        <v>0</v>
      </c>
      <c r="S28" s="26">
        <f>ÖvrigtIntäkter4</f>
        <v>0</v>
      </c>
    </row>
    <row r="29" spans="6:19" ht="14.45">
      <c r="O29" s="67" t="s">
        <v>36</v>
      </c>
      <c r="P29" s="26">
        <f>ResorIntäkter1</f>
        <v>0</v>
      </c>
      <c r="Q29" s="26">
        <f>ResorIntäkter2</f>
        <v>0</v>
      </c>
      <c r="R29" s="26">
        <f>ResorIntäkter3</f>
        <v>0</v>
      </c>
      <c r="S29" s="26">
        <f>ResorIntäkter4</f>
        <v>0</v>
      </c>
    </row>
    <row r="30" spans="6:19" ht="14.45">
      <c r="O30" s="67" t="s">
        <v>38</v>
      </c>
      <c r="P30" s="26">
        <f>KårrumIntäkter1</f>
        <v>0</v>
      </c>
      <c r="Q30" s="26">
        <f>KårrumIntäkter2</f>
        <v>0</v>
      </c>
      <c r="R30" s="26">
        <f>KårrumIntäkter3</f>
        <v>0</v>
      </c>
      <c r="S30" s="26">
        <f>KårrumIntäkter4</f>
        <v>0</v>
      </c>
    </row>
    <row r="33" spans="15:19" ht="15.6">
      <c r="O33" s="53" t="s">
        <v>136</v>
      </c>
      <c r="P33" s="66" t="s">
        <v>93</v>
      </c>
      <c r="Q33" s="66" t="s">
        <v>94</v>
      </c>
      <c r="R33" s="66" t="s">
        <v>95</v>
      </c>
      <c r="S33" s="66" t="s">
        <v>96</v>
      </c>
    </row>
    <row r="34" spans="15:19">
      <c r="O34" s="77" t="s">
        <v>10</v>
      </c>
      <c r="P34" s="26">
        <f>EventKostnader1</f>
        <v>0</v>
      </c>
      <c r="Q34" s="26">
        <f>EventKostnader2</f>
        <v>0</v>
      </c>
      <c r="R34" s="26">
        <f>EventKostnader3</f>
        <v>0</v>
      </c>
      <c r="S34" s="26">
        <f>EventKostnader4</f>
        <v>0</v>
      </c>
    </row>
    <row r="35" spans="15:19">
      <c r="O35" s="77" t="s">
        <v>26</v>
      </c>
      <c r="P35" s="26">
        <f>LobbyingKostnader1</f>
        <v>0</v>
      </c>
      <c r="Q35" s="26">
        <f>LobbyingKostnader2</f>
        <v>0</v>
      </c>
      <c r="R35" s="26">
        <f>LobbyingKostnader3</f>
        <v>0</v>
      </c>
      <c r="S35" s="26">
        <f>LobbyingKostnader4</f>
        <v>0</v>
      </c>
    </row>
    <row r="36" spans="15:19">
      <c r="O36" s="77" t="s">
        <v>28</v>
      </c>
      <c r="P36" s="26">
        <f>BildningKostnader1</f>
        <v>0</v>
      </c>
      <c r="Q36" s="26">
        <f>BildningKostnader2</f>
        <v>0</v>
      </c>
      <c r="R36" s="26">
        <f>BildningKostnader3</f>
        <v>0</v>
      </c>
      <c r="S36" s="26">
        <f>BildningKostnader4</f>
        <v>0</v>
      </c>
    </row>
    <row r="37" spans="15:19">
      <c r="O37" s="77" t="s">
        <v>30</v>
      </c>
      <c r="P37" s="26">
        <f>ServiceKostnader1</f>
        <v>0</v>
      </c>
      <c r="Q37" s="26">
        <f>ServiceKostnader2</f>
        <v>0</v>
      </c>
      <c r="R37" s="26">
        <f>ServiceKostnader3</f>
        <v>0</v>
      </c>
      <c r="S37" s="26">
        <f>ServiceKostnader4</f>
        <v>0</v>
      </c>
    </row>
    <row r="38" spans="15:19">
      <c r="O38" s="77" t="s">
        <v>75</v>
      </c>
      <c r="P38" s="26">
        <f>FöreningarKostnader1</f>
        <v>0</v>
      </c>
      <c r="Q38" s="26">
        <f>FöreningarKostnader2</f>
        <v>0</v>
      </c>
      <c r="R38" s="26">
        <f>FöreningarKostnader3</f>
        <v>0</v>
      </c>
      <c r="S38" s="26">
        <f>FöreningarKostnader4</f>
        <v>0</v>
      </c>
    </row>
    <row r="39" spans="15:19">
      <c r="O39" s="77" t="s">
        <v>134</v>
      </c>
      <c r="P39" s="26">
        <f>BidragFrånSkolanKostnader1</f>
        <v>0</v>
      </c>
      <c r="Q39" s="26">
        <f>BidragFrånSkolanKostnader2</f>
        <v>0</v>
      </c>
      <c r="R39" s="26">
        <f>BidragFrånSkolanKostnader3</f>
        <v>0</v>
      </c>
      <c r="S39" s="26">
        <f>BidragFrånSkolanKostnader4</f>
        <v>0</v>
      </c>
    </row>
    <row r="40" spans="15:19">
      <c r="O40" s="77" t="s">
        <v>135</v>
      </c>
      <c r="P40" s="26">
        <f>ÖvrigaBidragOchSponsringKostnader1</f>
        <v>0</v>
      </c>
      <c r="Q40" s="26">
        <f>ÖvrigaBidragOchSponsringKostnader2</f>
        <v>0</v>
      </c>
      <c r="R40" s="26">
        <f>ÖvrigaBidragOchSponsringKostnader3</f>
        <v>0</v>
      </c>
      <c r="S40" s="26">
        <f>ÖvrigaBidragOchSponsringKostnader4</f>
        <v>0</v>
      </c>
    </row>
    <row r="41" spans="15:19" ht="14.45">
      <c r="O41" s="67" t="s">
        <v>46</v>
      </c>
      <c r="P41" s="26">
        <f>MedlemsavgiftKostnader1</f>
        <v>0</v>
      </c>
      <c r="Q41" s="26">
        <f>MedlemsavgiftKostnader2</f>
        <v>0</v>
      </c>
      <c r="R41" s="26">
        <f>MedlemsavgiftKostnader3</f>
        <v>0</v>
      </c>
      <c r="S41" s="26">
        <f>MedlemsavgiftKostnader4</f>
        <v>0</v>
      </c>
    </row>
    <row r="42" spans="15:19" ht="14.45">
      <c r="O42" s="67" t="s">
        <v>48</v>
      </c>
      <c r="P42" s="26">
        <f>ÖvrigtKostnader1</f>
        <v>0</v>
      </c>
      <c r="Q42" s="26">
        <f>ÖvrigtKostnader2</f>
        <v>0</v>
      </c>
      <c r="R42" s="26">
        <f>ÖvrigtKostnader3</f>
        <v>0</v>
      </c>
      <c r="S42" s="26">
        <f>ÖvrigtKostnader4</f>
        <v>0</v>
      </c>
    </row>
    <row r="43" spans="15:19" ht="14.45">
      <c r="O43" s="67" t="s">
        <v>36</v>
      </c>
      <c r="P43" s="26">
        <f>ResorKostnader1</f>
        <v>0</v>
      </c>
      <c r="Q43" s="26">
        <f>ResorKostnader2</f>
        <v>0</v>
      </c>
      <c r="R43" s="26">
        <f>ResorKostnader3</f>
        <v>0</v>
      </c>
      <c r="S43" s="26">
        <f>ResorKostnader4</f>
        <v>0</v>
      </c>
    </row>
    <row r="44" spans="15:19" ht="14.45">
      <c r="O44" s="67" t="s">
        <v>38</v>
      </c>
      <c r="P44" s="26">
        <f>KårrumKostnader1</f>
        <v>0</v>
      </c>
      <c r="Q44" s="26">
        <f>KårrumKostnader2</f>
        <v>0</v>
      </c>
      <c r="R44" s="26">
        <f>KårrumKostnader3</f>
        <v>0</v>
      </c>
      <c r="S44" s="26">
        <f>KårrumKostnader4</f>
        <v>0</v>
      </c>
    </row>
    <row r="45" spans="15:19" ht="14.45">
      <c r="O45" s="67"/>
    </row>
  </sheetData>
  <sheetProtection algorithmName="SHA-512" hashValue="cFrbpY1vfZNApzuLQjgE3mbnJkdEmTYTYHP4Xe+5ouj6zspNoyOGzPwLCoAQ9fE1rSos9XAirHZ4A4iH0sPSbg==" saltValue="Ojwk+OsrrF0KAR6n4GJUew==" spinCount="100000" sheet="1" objects="1" scenarios="1"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- Sveriges Elevkårer" ma:contentTypeID="0x010100CEED699FC4707E438D691165869A11D0007264BE375B5E8E4C8EFF93C5DF48B1BB" ma:contentTypeVersion="13" ma:contentTypeDescription="Skapa ett nytt dokument." ma:contentTypeScope="" ma:versionID="b39f44f7df1b18b9a3272784c8f0f950">
  <xsd:schema xmlns:xsd="http://www.w3.org/2001/XMLSchema" xmlns:xs="http://www.w3.org/2001/XMLSchema" xmlns:p="http://schemas.microsoft.com/office/2006/metadata/properties" xmlns:ns2="2d2d07aa-6d1d-4b0c-9683-5ee92f44e8fc" xmlns:ns3="c54feafb-ab9b-4a35-9fd1-3206e3239519" targetNamespace="http://schemas.microsoft.com/office/2006/metadata/properties" ma:root="true" ma:fieldsID="45e01d55aaa57a7c5c864f01583b2377" ns2:_="" ns3:_="">
    <xsd:import namespace="2d2d07aa-6d1d-4b0c-9683-5ee92f44e8fc"/>
    <xsd:import namespace="c54feafb-ab9b-4a35-9fd1-3206e3239519"/>
    <xsd:element name="properties">
      <xsd:complexType>
        <xsd:sequence>
          <xsd:element name="documentManagement">
            <xsd:complexType>
              <xsd:all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d07aa-6d1d-4b0c-9683-5ee92f44e8fc" elementFormDefault="qualified">
    <xsd:import namespace="http://schemas.microsoft.com/office/2006/documentManagement/types"/>
    <xsd:import namespace="http://schemas.microsoft.com/office/infopath/2007/PartnerControls"/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9a5619e2-f16e-4d65-a30a-2edc8d231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feafb-ab9b-4a35-9fd1-3206e32395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26c287-105b-4234-a7d4-b8f8a2318168}" ma:internalName="TaxCatchAll" ma:showField="CatchAllData" ma:web="c54feafb-ab9b-4a35-9fd1-3206e3239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2d07aa-6d1d-4b0c-9683-5ee92f44e8fc">
      <Terms xmlns="http://schemas.microsoft.com/office/infopath/2007/PartnerControls"/>
    </lcf76f155ced4ddcb4097134ff3c332f>
    <TaxCatchAll xmlns="c54feafb-ab9b-4a35-9fd1-3206e3239519" xsi:nil="true"/>
  </documentManagement>
</p:properties>
</file>

<file path=customXml/itemProps1.xml><?xml version="1.0" encoding="utf-8"?>
<ds:datastoreItem xmlns:ds="http://schemas.openxmlformats.org/officeDocument/2006/customXml" ds:itemID="{5389A581-8C04-414A-9D0E-7853C39A701A}"/>
</file>

<file path=customXml/itemProps2.xml><?xml version="1.0" encoding="utf-8"?>
<ds:datastoreItem xmlns:ds="http://schemas.openxmlformats.org/officeDocument/2006/customXml" ds:itemID="{9F0951C5-081C-4B3B-A273-64D37D89FBF0}"/>
</file>

<file path=customXml/itemProps3.xml><?xml version="1.0" encoding="utf-8"?>
<ds:datastoreItem xmlns:ds="http://schemas.openxmlformats.org/officeDocument/2006/customXml" ds:itemID="{D40B3656-C450-4954-A323-7BD24741F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Viktor Klasson</dc:creator>
  <cp:keywords/>
  <dc:description/>
  <cp:lastModifiedBy>Wilma Eriksson</cp:lastModifiedBy>
  <cp:revision/>
  <dcterms:created xsi:type="dcterms:W3CDTF">2019-03-17T01:13:45Z</dcterms:created>
  <dcterms:modified xsi:type="dcterms:W3CDTF">2022-09-05T13:02:49Z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0x010100CEED699FC4707E438D691165869A11D0007264BE375B5E8E4C8EFF93C5DF48B1BB</vt:lpwstr>
  </property>
  <property fmtid="{D5CDD505-2E9C-101B-9397-08002B2CF9AE}" pid="3" name="Order">
    <vt:r8>343500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